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LL\Desktop\HERIETH SCANNED DOCS\"/>
    </mc:Choice>
  </mc:AlternateContent>
  <xr:revisionPtr revIDLastSave="0" documentId="13_ncr:1_{75FC5168-6773-4BD8-A72D-B177BABA0B9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SUF" sheetId="15" r:id="rId1"/>
    <sheet name="UFB" sheetId="30" r:id="rId2"/>
    <sheet name="BANK RECONCILIATION TZS ACCOUNT" sheetId="39" r:id="rId3"/>
    <sheet name="BANK RECONCILIATION USD ACCOUNT" sheetId="38" r:id="rId4"/>
    <sheet name="SREEPS" sheetId="16" state="hidden" r:id="rId5"/>
    <sheet name="BANK RECONCILLIATION-TZS ACCOUN" sheetId="31" state="hidden" r:id="rId6"/>
    <sheet name="BANK RECONCILLIATION-USD ACCOUN" sheetId="32" state="hidden" r:id="rId7"/>
    <sheet name="NOTES ANNEX" sheetId="35" state="hidden" r:id="rId8"/>
    <sheet name="Sheet1" sheetId="36" state="hidden" r:id="rId9"/>
  </sheets>
  <externalReferences>
    <externalReference r:id="rId10"/>
    <externalReference r:id="rId11"/>
  </externalReferences>
  <definedNames>
    <definedName name="_xlnm._FilterDatabase" localSheetId="1" hidden="1">UFB!$A$6:$I$81</definedName>
    <definedName name="CategoryLookup">#REF!</definedName>
    <definedName name="ChtData">OFFSET(#REF!,1,0,COUNTA(#REF!)-2)</definedName>
    <definedName name="ChtLabels">OFFSET(#REF!,1,0,COUNTA(#REF!)-2)</definedName>
    <definedName name="Transact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30" l="1"/>
  <c r="C41" i="30"/>
  <c r="C50" i="15"/>
  <c r="C18" i="15"/>
  <c r="C13" i="15"/>
  <c r="C26" i="15"/>
  <c r="C70" i="15"/>
  <c r="C54" i="15" l="1"/>
  <c r="C56" i="15"/>
  <c r="C55" i="15"/>
  <c r="C44" i="15"/>
  <c r="C17" i="15"/>
  <c r="C20" i="15"/>
  <c r="F77" i="30"/>
  <c r="F76" i="30"/>
  <c r="F68" i="30"/>
  <c r="F65" i="30"/>
  <c r="F64" i="30"/>
  <c r="F61" i="30"/>
  <c r="F60" i="30"/>
  <c r="F59" i="30"/>
  <c r="F56" i="30"/>
  <c r="F47" i="30"/>
  <c r="F46" i="30"/>
  <c r="F45" i="30"/>
  <c r="F44" i="30"/>
  <c r="F43" i="30"/>
  <c r="F42" i="30"/>
  <c r="F41" i="30"/>
  <c r="F40" i="30"/>
  <c r="F38" i="30"/>
  <c r="F37" i="30"/>
  <c r="F36" i="30"/>
  <c r="F33" i="30"/>
  <c r="F30" i="30"/>
  <c r="E13" i="30"/>
  <c r="E14" i="30"/>
  <c r="E8" i="30"/>
  <c r="E9" i="30"/>
  <c r="F27" i="30"/>
  <c r="F24" i="30"/>
  <c r="F17" i="30"/>
  <c r="F9" i="30"/>
  <c r="F8" i="30"/>
  <c r="F7" i="30"/>
  <c r="C74" i="30" l="1"/>
  <c r="C78" i="30"/>
  <c r="C80" i="30"/>
  <c r="C54" i="30"/>
  <c r="C33" i="15" s="1"/>
  <c r="D54" i="30"/>
  <c r="E53" i="30"/>
  <c r="E52" i="30"/>
  <c r="D21" i="30"/>
  <c r="C81" i="30" l="1"/>
  <c r="D78" i="30"/>
  <c r="C60" i="30" l="1"/>
  <c r="F79" i="30"/>
  <c r="D18" i="15"/>
  <c r="D20" i="15"/>
  <c r="D19" i="15"/>
  <c r="D14" i="15"/>
  <c r="D15" i="15" l="1"/>
  <c r="F23" i="36" l="1"/>
  <c r="F20" i="36"/>
  <c r="F21" i="36" s="1"/>
  <c r="F16" i="36"/>
  <c r="F17" i="36" s="1"/>
  <c r="F13" i="36"/>
  <c r="F10" i="36"/>
  <c r="F9" i="36"/>
  <c r="F11" i="36" s="1"/>
  <c r="F7" i="36"/>
  <c r="F6" i="36"/>
  <c r="F5" i="36"/>
  <c r="C58" i="30"/>
  <c r="C10" i="30"/>
  <c r="F2" i="36"/>
  <c r="C13" i="30"/>
  <c r="D17" i="15"/>
  <c r="F73" i="30" l="1"/>
  <c r="D5" i="16" l="1"/>
  <c r="E20" i="30"/>
  <c r="G12" i="30" l="1"/>
  <c r="E15" i="35"/>
  <c r="F70" i="30"/>
  <c r="F71" i="30"/>
  <c r="F72" i="30"/>
  <c r="F69" i="30"/>
  <c r="F67" i="30"/>
  <c r="F63" i="30"/>
  <c r="F58" i="30"/>
  <c r="F57" i="30"/>
  <c r="F31" i="30"/>
  <c r="F18" i="30"/>
  <c r="F13" i="30"/>
  <c r="G8" i="30"/>
  <c r="F12" i="30"/>
  <c r="D31" i="15" l="1"/>
  <c r="D27" i="15"/>
  <c r="F54" i="30"/>
  <c r="H8" i="30"/>
  <c r="D33" i="15" l="1"/>
  <c r="D6" i="15"/>
  <c r="E26" i="35" l="1"/>
  <c r="D26" i="35"/>
  <c r="F26" i="35" s="1"/>
  <c r="F25" i="35"/>
  <c r="F24" i="35"/>
  <c r="F22" i="35"/>
  <c r="C22" i="35"/>
  <c r="F21" i="35"/>
  <c r="C21" i="35"/>
  <c r="F20" i="35"/>
  <c r="C20" i="35"/>
  <c r="F19" i="35"/>
  <c r="C19" i="35"/>
  <c r="F17" i="35"/>
  <c r="C17" i="35"/>
  <c r="F16" i="35"/>
  <c r="C16" i="35"/>
  <c r="F15" i="35"/>
  <c r="F14" i="35"/>
  <c r="F13" i="35"/>
  <c r="C13" i="35"/>
  <c r="F12" i="35"/>
  <c r="F11" i="35"/>
  <c r="F10" i="35"/>
  <c r="F8" i="35"/>
  <c r="C8" i="35"/>
  <c r="F7" i="35"/>
  <c r="C7" i="35"/>
  <c r="C71" i="15" l="1"/>
  <c r="D6" i="16"/>
  <c r="E66" i="30" l="1"/>
  <c r="E67" i="30"/>
  <c r="E68" i="30"/>
  <c r="E69" i="30"/>
  <c r="E70" i="30"/>
  <c r="E71" i="30"/>
  <c r="E72" i="30"/>
  <c r="E73" i="30"/>
  <c r="C25" i="15"/>
  <c r="C15" i="30"/>
  <c r="C18" i="30"/>
  <c r="C27" i="15" s="1"/>
  <c r="C21" i="30"/>
  <c r="C28" i="15" s="1"/>
  <c r="C25" i="30"/>
  <c r="C34" i="30"/>
  <c r="C32" i="15" s="1"/>
  <c r="D34" i="30"/>
  <c r="B7" i="16"/>
  <c r="D7" i="16"/>
  <c r="E46" i="30"/>
  <c r="E47" i="30"/>
  <c r="E49" i="30"/>
  <c r="E50" i="30"/>
  <c r="E51" i="30"/>
  <c r="C34" i="15" l="1"/>
  <c r="C29" i="15"/>
  <c r="D74" i="30"/>
  <c r="D15" i="30"/>
  <c r="D10" i="30"/>
  <c r="C51" i="15" l="1"/>
  <c r="C21" i="15" s="1"/>
  <c r="D21" i="15" s="1"/>
  <c r="D22" i="15" s="1"/>
  <c r="C35" i="15" l="1"/>
  <c r="F78" i="30"/>
  <c r="H7" i="30"/>
  <c r="C7" i="16"/>
  <c r="D35" i="15" l="1"/>
  <c r="F74" i="30"/>
  <c r="E79" i="30"/>
  <c r="C31" i="30"/>
  <c r="D28" i="30"/>
  <c r="D34" i="15" l="1"/>
  <c r="C31" i="15"/>
  <c r="E10" i="30"/>
  <c r="H42" i="30" l="1"/>
  <c r="E42" i="30"/>
  <c r="E11" i="30"/>
  <c r="E12" i="30"/>
  <c r="E16" i="30"/>
  <c r="E17" i="30"/>
  <c r="E19" i="30"/>
  <c r="E22" i="30"/>
  <c r="E23" i="30"/>
  <c r="E24" i="30"/>
  <c r="E26" i="30"/>
  <c r="E27" i="30"/>
  <c r="E29" i="30"/>
  <c r="E30" i="30"/>
  <c r="E32" i="30"/>
  <c r="E33" i="30"/>
  <c r="E35" i="30"/>
  <c r="E36" i="30"/>
  <c r="E37" i="30"/>
  <c r="E38" i="30"/>
  <c r="E40" i="30"/>
  <c r="E41" i="30"/>
  <c r="E43" i="30"/>
  <c r="E44" i="30"/>
  <c r="E45" i="30"/>
  <c r="E55" i="30"/>
  <c r="E56" i="30"/>
  <c r="E57" i="30"/>
  <c r="E58" i="30"/>
  <c r="E59" i="30"/>
  <c r="E60" i="30"/>
  <c r="E61" i="30"/>
  <c r="E62" i="30"/>
  <c r="E63" i="30"/>
  <c r="E64" i="30"/>
  <c r="E65" i="30"/>
  <c r="E75" i="30"/>
  <c r="E76" i="30"/>
  <c r="E77" i="30"/>
  <c r="E7" i="30"/>
  <c r="F10" i="30"/>
  <c r="G10" i="30"/>
  <c r="F15" i="30"/>
  <c r="D26" i="15" s="1"/>
  <c r="G15" i="30"/>
  <c r="D18" i="30"/>
  <c r="G18" i="30"/>
  <c r="F21" i="30"/>
  <c r="G21" i="30"/>
  <c r="D25" i="30"/>
  <c r="F25" i="30"/>
  <c r="G25" i="30"/>
  <c r="C28" i="30"/>
  <c r="F28" i="30"/>
  <c r="G28" i="30"/>
  <c r="D31" i="30"/>
  <c r="E31" i="30" s="1"/>
  <c r="G31" i="30"/>
  <c r="F34" i="30"/>
  <c r="G34" i="30"/>
  <c r="G54" i="30"/>
  <c r="E74" i="30"/>
  <c r="G74" i="30"/>
  <c r="G78" i="30"/>
  <c r="D80" i="30"/>
  <c r="G80" i="30"/>
  <c r="H9" i="30"/>
  <c r="H11" i="30"/>
  <c r="H12" i="30"/>
  <c r="H13" i="30"/>
  <c r="H14" i="30"/>
  <c r="H16" i="30"/>
  <c r="H17" i="30"/>
  <c r="H19" i="30"/>
  <c r="H20" i="30"/>
  <c r="H22" i="30"/>
  <c r="H23" i="30"/>
  <c r="H24" i="30"/>
  <c r="H26" i="30"/>
  <c r="H27" i="30"/>
  <c r="H29" i="30"/>
  <c r="H30" i="30"/>
  <c r="H32" i="30"/>
  <c r="H33" i="30"/>
  <c r="H35" i="30"/>
  <c r="H36" i="30"/>
  <c r="H37" i="30"/>
  <c r="H38" i="30"/>
  <c r="H40" i="30"/>
  <c r="H41" i="30"/>
  <c r="H43" i="30"/>
  <c r="H55" i="30"/>
  <c r="H56" i="30"/>
  <c r="H57" i="30"/>
  <c r="H58" i="30"/>
  <c r="H59" i="30"/>
  <c r="H60" i="30"/>
  <c r="H62" i="30"/>
  <c r="H63" i="30"/>
  <c r="H64" i="30"/>
  <c r="H65" i="30"/>
  <c r="H75" i="30"/>
  <c r="H76" i="30"/>
  <c r="H77" i="30"/>
  <c r="H61" i="30"/>
  <c r="D32" i="15" l="1"/>
  <c r="D30" i="15"/>
  <c r="D29" i="15"/>
  <c r="D28" i="15"/>
  <c r="D25" i="15"/>
  <c r="C30" i="15"/>
  <c r="E34" i="30"/>
  <c r="E80" i="30"/>
  <c r="E78" i="30"/>
  <c r="H78" i="30"/>
  <c r="H28" i="30"/>
  <c r="H34" i="30"/>
  <c r="H25" i="30"/>
  <c r="H21" i="30"/>
  <c r="H18" i="30"/>
  <c r="H31" i="30"/>
  <c r="D81" i="30"/>
  <c r="H74" i="30"/>
  <c r="G81" i="30"/>
  <c r="E18" i="30"/>
  <c r="H15" i="30"/>
  <c r="E28" i="30"/>
  <c r="E21" i="30"/>
  <c r="E15" i="30"/>
  <c r="E25" i="30"/>
  <c r="H10" i="30"/>
  <c r="H44" i="30"/>
  <c r="H54" i="30" s="1"/>
  <c r="C36" i="15" l="1"/>
  <c r="E54" i="30"/>
  <c r="E81" i="30"/>
  <c r="F80" i="30" l="1"/>
  <c r="H79" i="30" l="1"/>
  <c r="H80" i="30" s="1"/>
  <c r="H81" i="30" s="1"/>
  <c r="F81" i="30"/>
  <c r="D36" i="15" l="1"/>
  <c r="C11" i="15" l="1"/>
  <c r="C22" i="15" s="1"/>
  <c r="B18" i="15" l="1"/>
  <c r="B17" i="15"/>
  <c r="B15" i="15"/>
  <c r="A17" i="30" l="1"/>
  <c r="G9" i="31" l="1"/>
  <c r="G11" i="31"/>
  <c r="G12" i="31"/>
  <c r="G13" i="31"/>
  <c r="G8" i="31"/>
  <c r="F40" i="32" l="1"/>
  <c r="F10" i="32" s="1"/>
  <c r="F34" i="31"/>
  <c r="F10" i="31" s="1"/>
  <c r="G10" i="31" l="1"/>
  <c r="G14" i="31" s="1"/>
  <c r="F14" i="31"/>
  <c r="F14" i="32"/>
  <c r="C66" i="15"/>
  <c r="C37" i="15" s="1"/>
  <c r="D37" i="15" l="1"/>
  <c r="D38" i="15" s="1"/>
  <c r="D39" i="15" s="1"/>
  <c r="C38" i="15"/>
  <c r="C39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Admin</author>
  </authors>
  <commentList>
    <comment ref="C18" authorId="0" shapeId="0" xr:uid="{175BEBD2-0182-4DEF-B582-ECA02F0ACD1A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25,657.46 refund from heet</t>
        </r>
      </text>
    </comment>
    <comment ref="C5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1.Clinka 2,000
2.Habitat for Humanities 1,190.
3.Water for people 5026.90+8086.97
4.SIMA PP 1596.16
</t>
        </r>
      </text>
    </comment>
  </commentList>
</comments>
</file>

<file path=xl/sharedStrings.xml><?xml version="1.0" encoding="utf-8"?>
<sst xmlns="http://schemas.openxmlformats.org/spreadsheetml/2006/main" count="428" uniqueCount="293">
  <si>
    <t>Date</t>
  </si>
  <si>
    <t>Total</t>
  </si>
  <si>
    <t>Expenditure</t>
  </si>
  <si>
    <t>Planned</t>
  </si>
  <si>
    <t>Variance</t>
  </si>
  <si>
    <t>Research Excellence</t>
  </si>
  <si>
    <t>TOTAL</t>
  </si>
  <si>
    <t xml:space="preserve">Statement of sources and Uses of Funds for the period ending </t>
  </si>
  <si>
    <t>Sources of Funds</t>
  </si>
  <si>
    <t>Opening cash balance</t>
  </si>
  <si>
    <t>Government Funds</t>
  </si>
  <si>
    <t>World Bank IDA Funds</t>
  </si>
  <si>
    <t>Add receipt</t>
  </si>
  <si>
    <t>Student Fees</t>
  </si>
  <si>
    <t>Others</t>
  </si>
  <si>
    <t>Total Financing</t>
  </si>
  <si>
    <t>Less:Expenditure as per ACE  Annual Impelmentation Plan</t>
  </si>
  <si>
    <t>Action plan 1</t>
  </si>
  <si>
    <t>To achieve Learning excellence</t>
  </si>
  <si>
    <t>Action plan 2</t>
  </si>
  <si>
    <t>Action plan 3</t>
  </si>
  <si>
    <t>Quality Assurance</t>
  </si>
  <si>
    <t>Action plan 4</t>
  </si>
  <si>
    <t>Equity Dimension</t>
  </si>
  <si>
    <t>Action plan 5</t>
  </si>
  <si>
    <t>Attracting academic staff and students from the region</t>
  </si>
  <si>
    <t>Action plan 6</t>
  </si>
  <si>
    <t>National and Regional academic partners</t>
  </si>
  <si>
    <t>Action plan 7</t>
  </si>
  <si>
    <t xml:space="preserve">National and regional sector partners </t>
  </si>
  <si>
    <t>Action plan 8</t>
  </si>
  <si>
    <t>Collaboration with international academic partners</t>
  </si>
  <si>
    <t>Action plan 9</t>
  </si>
  <si>
    <t>Management and Governance</t>
  </si>
  <si>
    <t>Action plan 10</t>
  </si>
  <si>
    <t xml:space="preserve">Sustainable financing </t>
  </si>
  <si>
    <t>Action plan 11</t>
  </si>
  <si>
    <t>EEP 1: Salaries</t>
  </si>
  <si>
    <t>EEP 2:Non-procurable expenditure as defined in Financing Agreement</t>
  </si>
  <si>
    <t>Total EEPs</t>
  </si>
  <si>
    <t>MARY GRACE CUSACK</t>
  </si>
  <si>
    <t>FARHEEN BACHOO</t>
  </si>
  <si>
    <t>CASH</t>
  </si>
  <si>
    <t>Tanzania Revenue Authority</t>
  </si>
  <si>
    <t>NHIF</t>
  </si>
  <si>
    <t>Workers Compensation Fund</t>
  </si>
  <si>
    <t>THOMAS THOMAS KIVEVELE</t>
  </si>
  <si>
    <t>UNIVERSITY OF WATERLOO</t>
  </si>
  <si>
    <t>Charleston Travel (T) Ltd</t>
  </si>
  <si>
    <t>AKO Group Limited</t>
  </si>
  <si>
    <t>YUSUPH ABEID CHANDE JANDE</t>
  </si>
  <si>
    <t>000883</t>
  </si>
  <si>
    <t>000882</t>
  </si>
  <si>
    <t>Machare General Supplies</t>
  </si>
  <si>
    <t>000916</t>
  </si>
  <si>
    <t>KILIATIVE SOLUTIONS E.A LTD</t>
  </si>
  <si>
    <t>MELEGREEN ENTERPRISES</t>
  </si>
  <si>
    <t>000947</t>
  </si>
  <si>
    <t>ARUSHA TECHNICAL COLLEGE</t>
  </si>
  <si>
    <t>000951</t>
  </si>
  <si>
    <t>000965</t>
  </si>
  <si>
    <t>000959</t>
  </si>
  <si>
    <t>000961</t>
  </si>
  <si>
    <t>000100</t>
  </si>
  <si>
    <t>000101</t>
  </si>
  <si>
    <t>BENSON SECURITY SYSTEMS</t>
  </si>
  <si>
    <t>000108</t>
  </si>
  <si>
    <t>Grand Total</t>
  </si>
  <si>
    <t>KAROLI NICHOLAS NJAU.</t>
  </si>
  <si>
    <t>000935</t>
  </si>
  <si>
    <t>000107</t>
  </si>
  <si>
    <t>NM-AIST</t>
  </si>
  <si>
    <t>000106</t>
  </si>
  <si>
    <t>000103</t>
  </si>
  <si>
    <t>Amount(USD)</t>
  </si>
  <si>
    <t>Sub Total</t>
  </si>
  <si>
    <t xml:space="preserve">Monitoring and Evaluation </t>
  </si>
  <si>
    <t xml:space="preserve">THE NELSON MANDELA </t>
  </si>
  <si>
    <t>AFRICAN INSTITUTE OF SCIENCE AND TECHNOLOGY</t>
  </si>
  <si>
    <t>Account Information</t>
  </si>
  <si>
    <t>Bank Name:</t>
  </si>
  <si>
    <t>Bank Acct No:</t>
  </si>
  <si>
    <t>0250047604209</t>
  </si>
  <si>
    <t>Amount</t>
  </si>
  <si>
    <t>BANK RECONCILLIATION STATEMENT AS AT 31/12/2019</t>
  </si>
  <si>
    <t>PV#</t>
  </si>
  <si>
    <t>CHQ #</t>
  </si>
  <si>
    <t>Payee Name</t>
  </si>
  <si>
    <t>000948</t>
  </si>
  <si>
    <t>NM - AIST WISE FUTURE -TZS</t>
  </si>
  <si>
    <t>Bank Account statement  Closing Balance</t>
  </si>
  <si>
    <t>Unpresented Cheque</t>
  </si>
  <si>
    <t xml:space="preserve">Amount Debited in Cashbook but not credited in Bank </t>
  </si>
  <si>
    <t>Adjusted Cashbook Closing Balance</t>
  </si>
  <si>
    <t>Less</t>
  </si>
  <si>
    <t>0150047604200</t>
  </si>
  <si>
    <t>List of Unpresented Checks:</t>
  </si>
  <si>
    <t>NM - AIST WISE FUTURE -USD</t>
  </si>
  <si>
    <t>Add</t>
  </si>
  <si>
    <t>Actual</t>
  </si>
  <si>
    <t>*Exchange rate as at 31/12/2019=TZS 2310/1 USD</t>
  </si>
  <si>
    <t>Amount(TZS)</t>
  </si>
  <si>
    <t>List of  Unpresented Checks:</t>
  </si>
  <si>
    <t>PREPARED BY:</t>
  </si>
  <si>
    <t>WISE-Futures's Accountant</t>
  </si>
  <si>
    <t>Date: 05.01.2020</t>
  </si>
  <si>
    <t>Signature</t>
  </si>
  <si>
    <t xml:space="preserve">                    NM-AIST Head of Finance &amp; Accounts</t>
  </si>
  <si>
    <t xml:space="preserve">                    APPROVED BY:</t>
  </si>
  <si>
    <t xml:space="preserve">                    Date: 05.01.2020</t>
  </si>
  <si>
    <t xml:space="preserve">                    Signature</t>
  </si>
  <si>
    <t xml:space="preserve">          APPROVED BY:</t>
  </si>
  <si>
    <t xml:space="preserve">          NM-AIST Head of Finance &amp; Accounts</t>
  </si>
  <si>
    <t xml:space="preserve">          Date: 05.01.2020</t>
  </si>
  <si>
    <t xml:space="preserve">          Signature</t>
  </si>
  <si>
    <t>AMOUNT(USD)</t>
  </si>
  <si>
    <t xml:space="preserve">Total </t>
  </si>
  <si>
    <t>DLRs</t>
  </si>
  <si>
    <t>Eligible Expenditure Program (EEP)</t>
  </si>
  <si>
    <t>Action Plan</t>
  </si>
  <si>
    <t>Expenditure/Cash Outflow</t>
  </si>
  <si>
    <t>PAD/ life of Project</t>
  </si>
  <si>
    <t>Revised PAD</t>
  </si>
  <si>
    <t>5 years</t>
  </si>
  <si>
    <t>N/A</t>
  </si>
  <si>
    <t>ongoing</t>
  </si>
  <si>
    <t>AQAS Engaged for International Accreditation(In Progress)</t>
  </si>
  <si>
    <t>EASTERN AND SOUTHERN AFRICA HIGHER EDUCATION CENTERS OF EXCELLENCE PROJECT (P151847)</t>
  </si>
  <si>
    <t xml:space="preserve">Water Infrastructure and Sustainable Energy Futures (WISE - Futures) </t>
  </si>
  <si>
    <t>DISBURSEMENT LINKED TO INDICATORS</t>
  </si>
  <si>
    <t>ACTION TO BE COMPLETED (DLRS)</t>
  </si>
  <si>
    <t>DLIs</t>
  </si>
  <si>
    <t>DLI#1</t>
  </si>
  <si>
    <t xml:space="preserve"> 1.1 Completion of effectiveness conditions</t>
  </si>
  <si>
    <t>1.2  Development of project implementation plans</t>
  </si>
  <si>
    <t>DRI#2</t>
  </si>
  <si>
    <t>DRI#3</t>
  </si>
  <si>
    <t>DRI#4</t>
  </si>
  <si>
    <t>NOTES ANNEX</t>
  </si>
  <si>
    <t>STATUS OF ACTIONS COMPLETION</t>
  </si>
  <si>
    <t>AMOUNT ALLOCATED</t>
  </si>
  <si>
    <t>USD</t>
  </si>
  <si>
    <t>(%)</t>
  </si>
  <si>
    <t>AMOUNT DISBURSED BY WORLD BANK</t>
  </si>
  <si>
    <t xml:space="preserve">UNDISBURSED BALANCE </t>
  </si>
  <si>
    <t>4.2 Timely and satisfactory procurement progress report for each ACE</t>
  </si>
  <si>
    <t>4.1 Timely procurement audit under each ACE</t>
  </si>
  <si>
    <t>3.1 Timely Withdrawal application supported by interim unaudited financial reports</t>
  </si>
  <si>
    <t>3.2 Functioning audit committee</t>
  </si>
  <si>
    <t>3.3 Functioning internal audit unit</t>
  </si>
  <si>
    <t>3.4 Transparence of financial management (audit reports, interim unaudited financial reports, budgets and AWP)</t>
  </si>
  <si>
    <t>2.1 Timely annual implementation of plans</t>
  </si>
  <si>
    <t>2.2 Newly enrolled Students</t>
  </si>
  <si>
    <t>2.3 Accreditation of quality education programs</t>
  </si>
  <si>
    <t xml:space="preserve">2.4 Partnerships for collaboration in applied research and training collaboration in applied research and training </t>
  </si>
  <si>
    <t xml:space="preserve">2.5 Peer-reviewed journal papers </t>
  </si>
  <si>
    <t xml:space="preserve">USD  </t>
  </si>
  <si>
    <t>Action Plan 1: Learning excellence</t>
  </si>
  <si>
    <t>Action Plan 2: Research excellence</t>
  </si>
  <si>
    <t>Action Plan 3: Quality assurance</t>
  </si>
  <si>
    <t>Action Plan 4: Equity dimension</t>
  </si>
  <si>
    <t>Action Plan 5: Attracting academic staff and students from the region</t>
  </si>
  <si>
    <t>Action Plan 6: National and Regional academic partners</t>
  </si>
  <si>
    <t>Action Plan 7: National and regional sector partners</t>
  </si>
  <si>
    <t>Action Plan 8: Collaboration with international academic partners</t>
  </si>
  <si>
    <t>Action Plan 9: Management and Governance</t>
  </si>
  <si>
    <t>Action Plan 10: Sustainable financing</t>
  </si>
  <si>
    <t>Action Plan 11: Monitoring and Evaluation</t>
  </si>
  <si>
    <t>International accreditation through AQAS for at least two MEWES &amp; COCSE programs</t>
  </si>
  <si>
    <t>Technical Advisory Meetings (TAM) and other related costs</t>
  </si>
  <si>
    <t>WATER INFRASTRUCTURE AND SUSTAINABLE ENERGY FUTURES(WISE-Futures)</t>
  </si>
  <si>
    <t>AMOUNT USD</t>
  </si>
  <si>
    <t>Other Project's Expenses</t>
  </si>
  <si>
    <t>Purely WISE- Futures Expenditures as per Implementation Plan</t>
  </si>
  <si>
    <t>Total WISE Futures Expenditures (Including Other Projects Expenditure)</t>
  </si>
  <si>
    <t>Other expenditures:(Refer Note 2)</t>
  </si>
  <si>
    <t xml:space="preserve">Note 2: Other expenditure </t>
  </si>
  <si>
    <t>Note 1: Other Receipts</t>
  </si>
  <si>
    <t>PASET Project Expenses</t>
  </si>
  <si>
    <t>Total Closing Cash Balance:</t>
  </si>
  <si>
    <t xml:space="preserve">2.6 Faculty and PhD student exchanges </t>
  </si>
  <si>
    <t>2.7 Externally Generated Revenues</t>
  </si>
  <si>
    <t>2.8 Institution participating in benchmark exercise</t>
  </si>
  <si>
    <t>Facilitating Meetings related to International accreditation of three degree programmes with AQAS</t>
  </si>
  <si>
    <t xml:space="preserve">Support of Centre evaluation activities </t>
  </si>
  <si>
    <t>Costs related to Centre Recruitment</t>
  </si>
  <si>
    <t>To facilitate costs related to WISE-Futures proposal writing</t>
  </si>
  <si>
    <t>Purchase Mini-pick up truck (Kirikuu e.g. Suzuki carry) and one tri-cycle motorbike (Guta) for transport and distribution of bottled drinking water</t>
  </si>
  <si>
    <t>Trolleys for moving items to nearby locations (e.g. building units at NM-AIST)</t>
  </si>
  <si>
    <t>Equipment for mini-lab (e.g. multiparameter, photospectrometer, Palintest kits etc) for bottle water quality control</t>
  </si>
  <si>
    <t>Costs for facilitating travels, and follow up meetings to seek financial support for R&amp;D Centre establishment</t>
  </si>
  <si>
    <t>Annual costs related Controller Auditor General (CAG) auditing of the centre activities</t>
  </si>
  <si>
    <t>July to December 2021</t>
  </si>
  <si>
    <t>FCDO Expenses</t>
  </si>
  <si>
    <t>PEER Expenses</t>
  </si>
  <si>
    <t xml:space="preserve">Maintenance of Skills improvement platform (Biogas Energy systems). </t>
  </si>
  <si>
    <t>Purchase of two key reseach equipments material to be installed in the material characterisation unit ( BET &amp; FTIR - Alpha300R Confocal Raman Microscope)</t>
  </si>
  <si>
    <t>Purchase of one Containerised Reverse Osmosis Unit for memberane and water research</t>
  </si>
  <si>
    <t>Centre and NM-AIST website hosting  costs</t>
  </si>
  <si>
    <t>Collaborative Research on Conservation and Range Land/Catchment Water Management with &amp;Beyond Company (private partner) and Africa Foundation in Kliens Serengeti and Ololosokwan village</t>
  </si>
  <si>
    <t xml:space="preserve">To Facilitate National Steering Committee Meetings </t>
  </si>
  <si>
    <t>Insurance for two vehicles, Kirikuu &amp; Guta</t>
  </si>
  <si>
    <t>Vehicles maintenance and repair (Two Vehicles, Kirikuu &amp; Guta)</t>
  </si>
  <si>
    <t>Fueling of the Centre vehicles (Two Vehicles, Kirikuu &amp; Guta)</t>
  </si>
  <si>
    <t xml:space="preserve">Centre office consumables </t>
  </si>
  <si>
    <t>WISE-Futures salary Cost (Centre Manager, M&amp;E, Procurement Officer, Communication Officer, Admin Officer, Technical Officer, Supplies Officer, Accountant and Two Drivers. Two C-CoDE &amp; 5 Radio Staff )</t>
  </si>
  <si>
    <t>Staff Gratuity (Ten WISE-Futures, Five Radio, Two C-CoDE staff)</t>
  </si>
  <si>
    <t>Communication Allowance (For 10 Centre Staff, Two C-CoDE, Five Radio and Two Centre Leaders)</t>
  </si>
  <si>
    <t>To facilitate annual fee for the Centre Internet</t>
  </si>
  <si>
    <t xml:space="preserve">Support NM-AIST Legal Services for the Centre </t>
  </si>
  <si>
    <t>PPRA Audit for DLI 4</t>
  </si>
  <si>
    <t>Consultation with local (Government and Non-Government) and international development agencies (Embassies, Banks, ODAs) for soliciting funds and business networking</t>
  </si>
  <si>
    <t>Centre Maintenance (Interior &amp; Exterior Repairs). The Centre building to be in good condition and provide a good and safe working environment.</t>
  </si>
  <si>
    <t xml:space="preserve">Electricity, water system,consumables, space modification, and training for operationalization of Centre Income generation Equipments (Cabin Filter Machine,RO,material charaterization, XRF/XRD, etc). </t>
  </si>
  <si>
    <t>Procurement of drinking water bottling and industrial water  packaging equipment</t>
  </si>
  <si>
    <t>Wages for one Operator containerised systems and one Gardener for bio-waste recovery management, Kirikuu and Guta drivers &amp; two temporary workers, plus freelancers for the Radio</t>
  </si>
  <si>
    <t>Equipment and furnitures for Centre Digital Education (C-CoDE) and radio station</t>
  </si>
  <si>
    <t>Finalising the interior and exterior works of the renovated building for Digital Education (C-CoDE) studio/radio (electrical, sound proofing)</t>
  </si>
  <si>
    <t>To facilitate the Constrution of the NM-AIST Radio Station Tower, transmission from Themi Hill tower</t>
  </si>
  <si>
    <t xml:space="preserve">Marketing and Branding for Centre Business for income generation </t>
  </si>
  <si>
    <t>Development of Centre Business plan for Centre income generating activities</t>
  </si>
  <si>
    <t>To develop grant proposals by the schools of MEWES</t>
  </si>
  <si>
    <t>Statement of Reimbursable Eligible  Expenditure  Programs (EEPs) for the Semi annual Period ending 30th June 2022</t>
  </si>
  <si>
    <t>Jan to June 2022</t>
  </si>
  <si>
    <t>Cummulative for the Period ending 30th June, 2022</t>
  </si>
  <si>
    <t>SOHEADS Expenses</t>
  </si>
  <si>
    <t>SOVAS PROJECT</t>
  </si>
  <si>
    <t xml:space="preserve">MUM PROJECT </t>
  </si>
  <si>
    <t>EXAF - JFD PROJECT</t>
  </si>
  <si>
    <t>ICIPE-RSIF Scholarship Grant Funds</t>
  </si>
  <si>
    <t>MUM Fund</t>
  </si>
  <si>
    <t>Farm products</t>
  </si>
  <si>
    <t>AGRO-VAL PROJECT</t>
  </si>
  <si>
    <t>Tanzania Bureau of Standard(Material Testing)</t>
  </si>
  <si>
    <t>Explanation of Variance for the period ending 31st December,2022</t>
  </si>
  <si>
    <t>ALL FOR WASH PROJECT FUND</t>
  </si>
  <si>
    <t>UNESCO OWSD</t>
  </si>
  <si>
    <t>INTERNATIONAL ATOMIC ENERGY</t>
  </si>
  <si>
    <t>Other Project - Payment in deposit general</t>
  </si>
  <si>
    <t>Other Project - Receipt in deposit general</t>
  </si>
  <si>
    <t>THE UNITED REPUBLIC OF TANZANIA</t>
  </si>
  <si>
    <t xml:space="preserve">0T48PR33: NM-AIST WISE-FUTURES </t>
  </si>
  <si>
    <t>Account: 0250047604209 - NM-AIST ARUSHA - WISE - FUTURES</t>
  </si>
  <si>
    <t>Currency: USD</t>
  </si>
  <si>
    <t>Less:</t>
  </si>
  <si>
    <t>Recept in Bank not in Cash Book</t>
  </si>
  <si>
    <t>Outstanding Payments</t>
  </si>
  <si>
    <t>Total Less</t>
  </si>
  <si>
    <t xml:space="preserve">0.00 </t>
  </si>
  <si>
    <t>Add:</t>
  </si>
  <si>
    <t>Payments in Bank not in Cash Book</t>
  </si>
  <si>
    <t>Receip in Cash Book not in Bank</t>
  </si>
  <si>
    <t>Total Add</t>
  </si>
  <si>
    <t>0.00</t>
  </si>
  <si>
    <t>Adjusted Bank Balance</t>
  </si>
  <si>
    <t>CLosing Balance as per Cash Book</t>
  </si>
  <si>
    <t>Prepared By:</t>
  </si>
  <si>
    <t>Approved By:</t>
  </si>
  <si>
    <t>Accounting Officer</t>
  </si>
  <si>
    <t>Mfumo wa Ulipaji Serikalini (MUSE)</t>
  </si>
  <si>
    <t>Page 1 of 1</t>
  </si>
  <si>
    <t>Account: 0250047604200 - NM-AIST ARUSHA - WISE - FUTURES</t>
  </si>
  <si>
    <t>Currency: TZS</t>
  </si>
  <si>
    <r>
      <t xml:space="preserve">Other Receipts: (Refer Note </t>
    </r>
    <r>
      <rPr>
        <sz val="12"/>
        <color indexed="8"/>
        <rFont val="Trebuchet MS"/>
        <family val="2"/>
      </rPr>
      <t>1)</t>
    </r>
  </si>
  <si>
    <t>Develop  practitioner short course (s) targeting energy-water-food with Dessert Research Institute</t>
  </si>
  <si>
    <t>To participate in various events to promote the University/Centre</t>
  </si>
  <si>
    <t>To organize fellowship program (to support local and regional exchange)</t>
  </si>
  <si>
    <t>Testing potential local media (materials) for water purification</t>
  </si>
  <si>
    <t xml:space="preserve">Costs related to pay leave for centre staff </t>
  </si>
  <si>
    <t>Support for training of centre staff</t>
  </si>
  <si>
    <t>Support for training of audit committee</t>
  </si>
  <si>
    <t>Dropbox subsription fee</t>
  </si>
  <si>
    <t>MEWES and WISE-Futures staff day-out</t>
  </si>
  <si>
    <t>Support internal audit services</t>
  </si>
  <si>
    <t>Implimentation of Learning Hub Model Projects (LHMP) for the Rural Water Supply and Sanitation Agency (RUWASA)</t>
  </si>
  <si>
    <t>Prepare and conduct professional short course(s) by the MEWES research groups</t>
  </si>
  <si>
    <t>Semi-Annual Period ending 31st December, 2023</t>
  </si>
  <si>
    <t>Statement of  Uses of Funds for the semi-annual period ending 31st December, 2023</t>
  </si>
  <si>
    <t>Cummulative for Financial Year end  30/12/2023</t>
  </si>
  <si>
    <t>Conference Participation fee</t>
  </si>
  <si>
    <t>ZECURA</t>
  </si>
  <si>
    <t>July - Dec 2023</t>
  </si>
  <si>
    <t>Cummulative for the Period Ending 31st Dec, 2023</t>
  </si>
  <si>
    <t>Statement of Sources and Uses of Funds  for the Semi-annual period ending 31st Dec, 2023</t>
  </si>
  <si>
    <t>Note 3: Total Closing Cash Balance as at 31st Decmebr,2023</t>
  </si>
  <si>
    <t>HDIF</t>
  </si>
  <si>
    <t>BIOINNOCULANT</t>
  </si>
  <si>
    <t>Cash book balance as at 31st Dec 2023 ( Bank Reconciliation) USD</t>
  </si>
  <si>
    <t>Cash book balance as at 31st Dec 2023 ( Bank Reconciliation) TZS( 1USD=2,506.03 TZS )</t>
  </si>
  <si>
    <t>Printed on: 26 January 2024 12:20:15</t>
  </si>
  <si>
    <t>Closing Balance as per Bank Statement as at   31 December 2023</t>
  </si>
  <si>
    <t>RECONCILIATION STATEMENT AS AT 31/12/2023</t>
  </si>
  <si>
    <t>Printed on: 26 January 2024 12:11:16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</si>
</sst>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&quot;$&quot;#,##0"/>
    <numFmt numFmtId="169" formatCode="&quot;$&quot;#,##0.00"/>
  </numFmts>
  <fonts count="48" x14ac:knownFonts="1">
    <font>
      <sz val="11"/>
      <color theme="3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36"/>
      <color theme="2"/>
      <name val="Calibri"/>
      <family val="2"/>
      <scheme val="major"/>
    </font>
    <font>
      <b/>
      <sz val="26"/>
      <color theme="3"/>
      <name val="Calibri"/>
      <family val="2"/>
      <scheme val="major"/>
    </font>
    <font>
      <sz val="11"/>
      <color theme="3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3"/>
      <name val="Times New Roman"/>
      <family val="1"/>
    </font>
    <font>
      <b/>
      <sz val="12"/>
      <color theme="3"/>
      <name val="Times New Roman"/>
      <family val="1"/>
    </font>
    <font>
      <b/>
      <sz val="12"/>
      <name val="Times New Roman"/>
      <family val="1"/>
    </font>
    <font>
      <b/>
      <sz val="16"/>
      <color theme="1"/>
      <name val="Calibri"/>
      <family val="1"/>
      <scheme val="major"/>
    </font>
    <font>
      <sz val="12"/>
      <color theme="3"/>
      <name val="Calibri"/>
      <family val="2"/>
      <scheme val="minor"/>
    </font>
    <font>
      <sz val="12"/>
      <name val="Times New Roman"/>
      <family val="1"/>
    </font>
    <font>
      <b/>
      <sz val="16"/>
      <name val="Calibri"/>
      <family val="1"/>
      <scheme val="major"/>
    </font>
    <font>
      <sz val="8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Trebuchet MS"/>
      <family val="2"/>
    </font>
    <font>
      <sz val="11"/>
      <color theme="3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3"/>
      <name val="Trebuchet MS"/>
      <family val="2"/>
    </font>
    <font>
      <b/>
      <sz val="11"/>
      <name val="Trebuchet MS"/>
      <family val="2"/>
    </font>
    <font>
      <sz val="12"/>
      <color rgb="FF000000"/>
      <name val="Trebuchet MS"/>
      <family val="2"/>
    </font>
    <font>
      <b/>
      <sz val="16"/>
      <color theme="1"/>
      <name val="Trebuchet MS"/>
      <family val="2"/>
    </font>
    <font>
      <sz val="12"/>
      <color indexed="8"/>
      <name val="Trebuchet MS"/>
      <family val="2"/>
    </font>
    <font>
      <sz val="12"/>
      <color theme="3"/>
      <name val="Trebuchet MS"/>
      <family val="2"/>
    </font>
    <font>
      <b/>
      <sz val="12"/>
      <color indexed="8"/>
      <name val="Trebuchet MS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B0F0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thin">
        <color indexed="64"/>
      </left>
      <right/>
      <top style="medium">
        <color rgb="FF00B0F0"/>
      </top>
      <bottom style="medium">
        <color rgb="FF00B0F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00B0F0"/>
      </top>
      <bottom style="thin">
        <color indexed="64"/>
      </bottom>
      <diagonal/>
    </border>
    <border>
      <left/>
      <right/>
      <top style="medium">
        <color rgb="FF00B0F0"/>
      </top>
      <bottom style="thin">
        <color indexed="64"/>
      </bottom>
      <diagonal/>
    </border>
    <border>
      <left/>
      <right/>
      <top/>
      <bottom style="dotted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</borders>
  <cellStyleXfs count="57">
    <xf numFmtId="0" fontId="0" fillId="0" borderId="0"/>
    <xf numFmtId="0" fontId="15" fillId="2" borderId="0" applyNumberFormat="0" applyBorder="0" applyProtection="0">
      <alignment vertical="center"/>
    </xf>
    <xf numFmtId="0" fontId="14" fillId="0" borderId="0" applyNumberFormat="0" applyFill="0" applyProtection="0">
      <alignment horizontal="right" vertical="center" indent="4"/>
    </xf>
    <xf numFmtId="0" fontId="12" fillId="0" borderId="0" applyNumberFormat="0" applyFill="0" applyProtection="0">
      <alignment vertical="center"/>
    </xf>
    <xf numFmtId="0" fontId="13" fillId="0" borderId="0" applyNumberFormat="0" applyFill="0" applyAlignment="0" applyProtection="0"/>
    <xf numFmtId="165" fontId="16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6" fillId="0" borderId="0"/>
    <xf numFmtId="0" fontId="15" fillId="2" borderId="0" applyNumberFormat="0" applyBorder="0" applyProtection="0">
      <alignment vertical="center"/>
    </xf>
    <xf numFmtId="0" fontId="14" fillId="0" borderId="0" applyNumberFormat="0" applyFill="0" applyProtection="0">
      <alignment horizontal="right" vertical="center" indent="4"/>
    </xf>
    <xf numFmtId="0" fontId="12" fillId="0" borderId="0" applyNumberFormat="0" applyFill="0" applyProtection="0">
      <alignment vertical="center"/>
    </xf>
    <xf numFmtId="0" fontId="13" fillId="0" borderId="0" applyNumberFormat="0" applyFill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2" fillId="0" borderId="0">
      <alignment vertical="top"/>
    </xf>
    <xf numFmtId="0" fontId="33" fillId="0" borderId="0">
      <alignment vertical="top"/>
    </xf>
    <xf numFmtId="43" fontId="33" fillId="0" borderId="0" applyFont="0" applyFill="0" applyBorder="0" applyAlignment="0" applyProtection="0">
      <alignment vertical="top"/>
    </xf>
  </cellStyleXfs>
  <cellXfs count="261">
    <xf numFmtId="0" fontId="0" fillId="0" borderId="0" xfId="0"/>
    <xf numFmtId="0" fontId="17" fillId="0" borderId="2" xfId="0" applyFont="1" applyBorder="1"/>
    <xf numFmtId="165" fontId="17" fillId="0" borderId="2" xfId="5" applyFont="1" applyFill="1" applyBorder="1"/>
    <xf numFmtId="0" fontId="18" fillId="0" borderId="2" xfId="0" applyFont="1" applyBorder="1"/>
    <xf numFmtId="43" fontId="18" fillId="0" borderId="2" xfId="0" applyNumberFormat="1" applyFont="1" applyBorder="1"/>
    <xf numFmtId="165" fontId="18" fillId="0" borderId="2" xfId="5" applyFont="1" applyFill="1" applyBorder="1"/>
    <xf numFmtId="0" fontId="0" fillId="0" borderId="3" xfId="0" applyBorder="1"/>
    <xf numFmtId="165" fontId="0" fillId="0" borderId="0" xfId="0" applyNumberFormat="1"/>
    <xf numFmtId="0" fontId="19" fillId="0" borderId="3" xfId="0" applyFont="1" applyBorder="1"/>
    <xf numFmtId="165" fontId="19" fillId="0" borderId="3" xfId="5" applyFont="1" applyBorder="1"/>
    <xf numFmtId="0" fontId="20" fillId="0" borderId="3" xfId="0" applyFont="1" applyBorder="1"/>
    <xf numFmtId="165" fontId="20" fillId="0" borderId="3" xfId="0" applyNumberFormat="1" applyFont="1" applyBorder="1"/>
    <xf numFmtId="0" fontId="17" fillId="0" borderId="0" xfId="0" applyFont="1" applyAlignment="1">
      <alignment horizontal="left"/>
    </xf>
    <xf numFmtId="14" fontId="5" fillId="0" borderId="3" xfId="19" applyNumberFormat="1" applyBorder="1"/>
    <xf numFmtId="0" fontId="18" fillId="0" borderId="3" xfId="19" applyFont="1" applyBorder="1"/>
    <xf numFmtId="14" fontId="17" fillId="0" borderId="3" xfId="19" applyNumberFormat="1" applyFont="1" applyBorder="1"/>
    <xf numFmtId="0" fontId="17" fillId="0" borderId="3" xfId="19" applyFont="1" applyBorder="1"/>
    <xf numFmtId="165" fontId="17" fillId="0" borderId="3" xfId="20" applyFont="1" applyBorder="1"/>
    <xf numFmtId="165" fontId="0" fillId="0" borderId="0" xfId="5" applyFont="1"/>
    <xf numFmtId="165" fontId="21" fillId="0" borderId="3" xfId="5" applyFont="1" applyFill="1" applyBorder="1" applyAlignment="1" applyProtection="1">
      <alignment horizontal="left"/>
    </xf>
    <xf numFmtId="165" fontId="18" fillId="0" borderId="3" xfId="5" applyFont="1" applyBorder="1"/>
    <xf numFmtId="165" fontId="0" fillId="0" borderId="3" xfId="5" applyFont="1" applyBorder="1"/>
    <xf numFmtId="0" fontId="21" fillId="0" borderId="7" xfId="19" applyFont="1" applyBorder="1" applyProtection="1">
      <protection locked="0"/>
    </xf>
    <xf numFmtId="0" fontId="21" fillId="0" borderId="6" xfId="19" applyFont="1" applyBorder="1" applyProtection="1">
      <protection locked="0"/>
    </xf>
    <xf numFmtId="0" fontId="21" fillId="0" borderId="7" xfId="19" quotePrefix="1" applyFont="1" applyBorder="1"/>
    <xf numFmtId="0" fontId="21" fillId="0" borderId="6" xfId="19" quotePrefix="1" applyFont="1" applyBorder="1"/>
    <xf numFmtId="165" fontId="0" fillId="0" borderId="0" xfId="5" applyFont="1" applyBorder="1"/>
    <xf numFmtId="0" fontId="21" fillId="0" borderId="3" xfId="19" applyFont="1" applyBorder="1" applyProtection="1">
      <protection locked="0"/>
    </xf>
    <xf numFmtId="0" fontId="21" fillId="0" borderId="3" xfId="19" quotePrefix="1" applyFont="1" applyBorder="1"/>
    <xf numFmtId="0" fontId="21" fillId="0" borderId="3" xfId="19" quotePrefix="1" applyFont="1" applyBorder="1" applyProtection="1">
      <protection locked="0"/>
    </xf>
    <xf numFmtId="0" fontId="19" fillId="3" borderId="3" xfId="0" applyFont="1" applyFill="1" applyBorder="1"/>
    <xf numFmtId="14" fontId="17" fillId="3" borderId="3" xfId="19" applyNumberFormat="1" applyFont="1" applyFill="1" applyBorder="1"/>
    <xf numFmtId="0" fontId="17" fillId="3" borderId="3" xfId="19" applyFont="1" applyFill="1" applyBorder="1"/>
    <xf numFmtId="165" fontId="17" fillId="3" borderId="3" xfId="20" applyFont="1" applyFill="1" applyBorder="1"/>
    <xf numFmtId="0" fontId="21" fillId="0" borderId="3" xfId="19" applyFont="1" applyBorder="1" applyAlignment="1">
      <alignment horizontal="left"/>
    </xf>
    <xf numFmtId="166" fontId="17" fillId="0" borderId="2" xfId="7" applyNumberFormat="1" applyFont="1" applyFill="1" applyBorder="1"/>
    <xf numFmtId="0" fontId="18" fillId="0" borderId="0" xfId="0" applyFont="1" applyAlignment="1">
      <alignment horizontal="left"/>
    </xf>
    <xf numFmtId="0" fontId="18" fillId="0" borderId="9" xfId="0" applyFont="1" applyBorder="1" applyAlignment="1">
      <alignment horizontal="left"/>
    </xf>
    <xf numFmtId="165" fontId="18" fillId="0" borderId="0" xfId="5" applyFont="1" applyBorder="1"/>
    <xf numFmtId="0" fontId="17" fillId="0" borderId="9" xfId="0" applyFont="1" applyBorder="1" applyAlignment="1">
      <alignment horizontal="left"/>
    </xf>
    <xf numFmtId="0" fontId="17" fillId="0" borderId="0" xfId="0" applyFont="1" applyAlignment="1">
      <alignment horizontal="center"/>
    </xf>
    <xf numFmtId="165" fontId="19" fillId="0" borderId="0" xfId="5" applyFont="1"/>
    <xf numFmtId="165" fontId="17" fillId="0" borderId="3" xfId="5" applyFont="1" applyBorder="1"/>
    <xf numFmtId="165" fontId="20" fillId="0" borderId="3" xfId="5" applyFont="1" applyBorder="1"/>
    <xf numFmtId="0" fontId="19" fillId="0" borderId="0" xfId="0" applyFont="1"/>
    <xf numFmtId="165" fontId="19" fillId="0" borderId="0" xfId="5" applyFont="1" applyBorder="1"/>
    <xf numFmtId="165" fontId="19" fillId="0" borderId="0" xfId="0" applyNumberFormat="1" applyFont="1"/>
    <xf numFmtId="165" fontId="19" fillId="3" borderId="0" xfId="0" applyNumberFormat="1" applyFont="1" applyFill="1"/>
    <xf numFmtId="0" fontId="19" fillId="3" borderId="0" xfId="0" applyFont="1" applyFill="1"/>
    <xf numFmtId="0" fontId="19" fillId="0" borderId="7" xfId="0" applyFont="1" applyBorder="1"/>
    <xf numFmtId="0" fontId="19" fillId="0" borderId="8" xfId="0" applyFont="1" applyBorder="1"/>
    <xf numFmtId="0" fontId="19" fillId="0" borderId="6" xfId="0" applyFont="1" applyBorder="1"/>
    <xf numFmtId="0" fontId="17" fillId="0" borderId="2" xfId="0" applyFont="1" applyBorder="1" applyAlignment="1">
      <alignment horizontal="left" wrapText="1"/>
    </xf>
    <xf numFmtId="165" fontId="18" fillId="0" borderId="2" xfId="5" applyFont="1" applyFill="1" applyBorder="1" applyAlignment="1">
      <alignment wrapText="1"/>
    </xf>
    <xf numFmtId="0" fontId="23" fillId="0" borderId="0" xfId="0" applyFont="1"/>
    <xf numFmtId="0" fontId="18" fillId="0" borderId="2" xfId="0" applyFont="1" applyBorder="1" applyAlignment="1">
      <alignment horizontal="left" wrapText="1"/>
    </xf>
    <xf numFmtId="165" fontId="23" fillId="0" borderId="0" xfId="5" applyFont="1"/>
    <xf numFmtId="0" fontId="26" fillId="0" borderId="0" xfId="0" applyFont="1" applyAlignment="1">
      <alignment horizontal="left" vertical="top"/>
    </xf>
    <xf numFmtId="0" fontId="27" fillId="0" borderId="0" xfId="0" applyFont="1"/>
    <xf numFmtId="0" fontId="21" fillId="0" borderId="4" xfId="0" applyFont="1" applyBorder="1" applyAlignment="1">
      <alignment vertical="top" wrapText="1"/>
    </xf>
    <xf numFmtId="0" fontId="28" fillId="0" borderId="3" xfId="0" applyFont="1" applyBorder="1" applyAlignment="1">
      <alignment horizontal="center" wrapText="1"/>
    </xf>
    <xf numFmtId="165" fontId="28" fillId="0" borderId="3" xfId="5" applyFont="1" applyBorder="1" applyAlignment="1">
      <alignment horizontal="center" wrapText="1"/>
    </xf>
    <xf numFmtId="0" fontId="21" fillId="0" borderId="5" xfId="0" applyFont="1" applyBorder="1" applyAlignment="1">
      <alignment vertical="top" wrapText="1"/>
    </xf>
    <xf numFmtId="9" fontId="21" fillId="0" borderId="5" xfId="18" applyFont="1" applyBorder="1" applyAlignment="1">
      <alignment horizontal="center" vertical="top" wrapText="1"/>
    </xf>
    <xf numFmtId="0" fontId="21" fillId="0" borderId="3" xfId="0" applyFont="1" applyBorder="1" applyAlignment="1">
      <alignment vertical="top" wrapText="1"/>
    </xf>
    <xf numFmtId="0" fontId="21" fillId="6" borderId="14" xfId="0" applyFont="1" applyFill="1" applyBorder="1" applyAlignment="1">
      <alignment vertical="top" wrapText="1"/>
    </xf>
    <xf numFmtId="0" fontId="21" fillId="6" borderId="5" xfId="0" applyFont="1" applyFill="1" applyBorder="1" applyAlignment="1">
      <alignment vertical="top" wrapText="1"/>
    </xf>
    <xf numFmtId="9" fontId="21" fillId="6" borderId="5" xfId="18" applyFont="1" applyFill="1" applyBorder="1" applyAlignment="1">
      <alignment horizontal="center" vertical="top" wrapText="1"/>
    </xf>
    <xf numFmtId="0" fontId="21" fillId="6" borderId="3" xfId="0" applyFont="1" applyFill="1" applyBorder="1" applyAlignment="1">
      <alignment vertical="top" wrapText="1"/>
    </xf>
    <xf numFmtId="0" fontId="21" fillId="6" borderId="7" xfId="0" applyFont="1" applyFill="1" applyBorder="1" applyAlignment="1">
      <alignment vertical="top" wrapText="1"/>
    </xf>
    <xf numFmtId="0" fontId="24" fillId="0" borderId="3" xfId="0" applyFont="1" applyBorder="1" applyAlignment="1">
      <alignment horizontal="left" vertical="top" wrapText="1"/>
    </xf>
    <xf numFmtId="9" fontId="24" fillId="0" borderId="3" xfId="18" applyFont="1" applyBorder="1" applyAlignment="1">
      <alignment horizontal="center" vertical="top"/>
    </xf>
    <xf numFmtId="168" fontId="24" fillId="0" borderId="3" xfId="51" applyNumberFormat="1" applyFont="1" applyBorder="1" applyAlignment="1">
      <alignment horizontal="right"/>
    </xf>
    <xf numFmtId="168" fontId="24" fillId="0" borderId="7" xfId="51" applyNumberFormat="1" applyFont="1" applyBorder="1" applyAlignment="1">
      <alignment horizontal="right"/>
    </xf>
    <xf numFmtId="0" fontId="24" fillId="6" borderId="14" xfId="0" applyFont="1" applyFill="1" applyBorder="1" applyAlignment="1">
      <alignment horizontal="left" vertical="center" wrapText="1"/>
    </xf>
    <xf numFmtId="0" fontId="24" fillId="6" borderId="3" xfId="0" applyFont="1" applyFill="1" applyBorder="1" applyAlignment="1">
      <alignment horizontal="left" vertical="top" wrapText="1"/>
    </xf>
    <xf numFmtId="9" fontId="24" fillId="6" borderId="3" xfId="18" applyFont="1" applyFill="1" applyBorder="1" applyAlignment="1">
      <alignment horizontal="center" vertical="top"/>
    </xf>
    <xf numFmtId="168" fontId="24" fillId="6" borderId="3" xfId="51" applyNumberFormat="1" applyFont="1" applyFill="1" applyBorder="1" applyAlignment="1">
      <alignment horizontal="right"/>
    </xf>
    <xf numFmtId="168" fontId="24" fillId="6" borderId="7" xfId="51" applyNumberFormat="1" applyFont="1" applyFill="1" applyBorder="1" applyAlignment="1">
      <alignment horizontal="right"/>
    </xf>
    <xf numFmtId="0" fontId="21" fillId="4" borderId="3" xfId="0" applyFont="1" applyFill="1" applyBorder="1" applyAlignment="1">
      <alignment horizontal="center" vertical="top" wrapText="1"/>
    </xf>
    <xf numFmtId="168" fontId="21" fillId="4" borderId="3" xfId="0" applyNumberFormat="1" applyFont="1" applyFill="1" applyBorder="1" applyAlignment="1">
      <alignment horizontal="right"/>
    </xf>
    <xf numFmtId="168" fontId="21" fillId="4" borderId="3" xfId="51" applyNumberFormat="1" applyFont="1" applyFill="1" applyBorder="1" applyAlignment="1">
      <alignment horizontal="right"/>
    </xf>
    <xf numFmtId="165" fontId="26" fillId="0" borderId="0" xfId="0" applyNumberFormat="1" applyFont="1" applyAlignment="1">
      <alignment horizontal="left" vertical="top"/>
    </xf>
    <xf numFmtId="0" fontId="29" fillId="0" borderId="0" xfId="0" applyFont="1" applyAlignment="1">
      <alignment horizontal="left" vertical="top" wrapText="1"/>
    </xf>
    <xf numFmtId="169" fontId="26" fillId="0" borderId="0" xfId="0" applyNumberFormat="1" applyFont="1" applyAlignment="1">
      <alignment horizontal="left" vertical="top"/>
    </xf>
    <xf numFmtId="169" fontId="27" fillId="0" borderId="0" xfId="0" applyNumberFormat="1" applyFont="1"/>
    <xf numFmtId="166" fontId="23" fillId="0" borderId="0" xfId="0" applyNumberFormat="1" applyFont="1"/>
    <xf numFmtId="165" fontId="23" fillId="0" borderId="0" xfId="0" applyNumberFormat="1" applyFont="1"/>
    <xf numFmtId="165" fontId="17" fillId="0" borderId="2" xfId="7" applyFont="1" applyFill="1" applyBorder="1"/>
    <xf numFmtId="0" fontId="35" fillId="0" borderId="0" xfId="0" applyFont="1"/>
    <xf numFmtId="0" fontId="34" fillId="0" borderId="3" xfId="0" applyFont="1" applyBorder="1"/>
    <xf numFmtId="165" fontId="34" fillId="0" borderId="7" xfId="5" applyFont="1" applyFill="1" applyBorder="1" applyAlignment="1">
      <alignment wrapText="1"/>
    </xf>
    <xf numFmtId="0" fontId="35" fillId="0" borderId="3" xfId="0" applyFont="1" applyBorder="1"/>
    <xf numFmtId="165" fontId="34" fillId="0" borderId="7" xfId="5" applyFont="1" applyFill="1" applyBorder="1" applyAlignment="1">
      <alignment horizontal="center" wrapText="1"/>
    </xf>
    <xf numFmtId="165" fontId="34" fillId="0" borderId="8" xfId="5" applyFont="1" applyFill="1" applyBorder="1" applyAlignment="1">
      <alignment horizontal="center" wrapText="1"/>
    </xf>
    <xf numFmtId="165" fontId="34" fillId="0" borderId="6" xfId="5" applyFont="1" applyFill="1" applyBorder="1" applyAlignment="1">
      <alignment horizontal="center" wrapText="1"/>
    </xf>
    <xf numFmtId="165" fontId="34" fillId="0" borderId="3" xfId="5" applyFont="1" applyFill="1" applyBorder="1" applyAlignment="1">
      <alignment horizontal="center" wrapText="1"/>
    </xf>
    <xf numFmtId="164" fontId="36" fillId="0" borderId="3" xfId="5" applyNumberFormat="1" applyFont="1" applyFill="1" applyBorder="1" applyAlignment="1">
      <alignment horizontal="center" vertical="center"/>
    </xf>
    <xf numFmtId="0" fontId="37" fillId="0" borderId="3" xfId="0" applyFont="1" applyBorder="1" applyAlignment="1">
      <alignment vertical="top" wrapText="1"/>
    </xf>
    <xf numFmtId="0" fontId="38" fillId="0" borderId="3" xfId="0" applyFont="1" applyBorder="1" applyAlignment="1">
      <alignment horizontal="left" wrapText="1"/>
    </xf>
    <xf numFmtId="165" fontId="38" fillId="0" borderId="3" xfId="5" applyFont="1" applyFill="1" applyBorder="1" applyAlignment="1">
      <alignment horizontal="center"/>
    </xf>
    <xf numFmtId="165" fontId="38" fillId="0" borderId="3" xfId="5" applyFont="1" applyFill="1" applyBorder="1"/>
    <xf numFmtId="165" fontId="35" fillId="0" borderId="3" xfId="5" applyFont="1" applyFill="1" applyBorder="1"/>
    <xf numFmtId="165" fontId="39" fillId="0" borderId="3" xfId="5" applyFont="1" applyFill="1" applyBorder="1"/>
    <xf numFmtId="0" fontId="37" fillId="0" borderId="3" xfId="0" applyFont="1" applyBorder="1" applyAlignment="1">
      <alignment horizontal="center" wrapText="1"/>
    </xf>
    <xf numFmtId="0" fontId="37" fillId="0" borderId="3" xfId="0" applyFont="1" applyBorder="1" applyAlignment="1">
      <alignment horizontal="center"/>
    </xf>
    <xf numFmtId="0" fontId="38" fillId="0" borderId="3" xfId="0" applyFont="1" applyBorder="1"/>
    <xf numFmtId="165" fontId="38" fillId="0" borderId="3" xfId="5" applyFont="1" applyFill="1" applyBorder="1" applyAlignment="1">
      <alignment horizontal="center" wrapText="1"/>
    </xf>
    <xf numFmtId="0" fontId="34" fillId="0" borderId="3" xfId="0" applyFont="1" applyBorder="1" applyAlignment="1">
      <alignment wrapText="1"/>
    </xf>
    <xf numFmtId="165" fontId="40" fillId="0" borderId="3" xfId="5" applyFont="1" applyFill="1" applyBorder="1"/>
    <xf numFmtId="165" fontId="41" fillId="0" borderId="3" xfId="5" applyFont="1" applyFill="1" applyBorder="1"/>
    <xf numFmtId="0" fontId="40" fillId="0" borderId="3" xfId="0" applyFont="1" applyBorder="1" applyAlignment="1">
      <alignment horizontal="center"/>
    </xf>
    <xf numFmtId="0" fontId="40" fillId="0" borderId="3" xfId="0" applyFont="1" applyBorder="1"/>
    <xf numFmtId="0" fontId="40" fillId="0" borderId="0" xfId="0" applyFont="1"/>
    <xf numFmtId="165" fontId="34" fillId="0" borderId="3" xfId="5" applyFont="1" applyFill="1" applyBorder="1"/>
    <xf numFmtId="0" fontId="35" fillId="0" borderId="3" xfId="0" applyFont="1" applyBorder="1" applyAlignment="1">
      <alignment horizontal="center"/>
    </xf>
    <xf numFmtId="165" fontId="42" fillId="0" borderId="0" xfId="5" applyFont="1" applyFill="1" applyBorder="1"/>
    <xf numFmtId="165" fontId="35" fillId="0" borderId="0" xfId="5" applyFont="1" applyFill="1"/>
    <xf numFmtId="43" fontId="38" fillId="0" borderId="3" xfId="5" applyNumberFormat="1" applyFont="1" applyFill="1" applyBorder="1" applyAlignment="1">
      <alignment horizontal="center"/>
    </xf>
    <xf numFmtId="165" fontId="38" fillId="0" borderId="3" xfId="5" applyFont="1" applyFill="1" applyBorder="1" applyAlignment="1">
      <alignment wrapText="1"/>
    </xf>
    <xf numFmtId="166" fontId="38" fillId="0" borderId="3" xfId="5" applyNumberFormat="1" applyFont="1" applyFill="1" applyBorder="1" applyAlignment="1">
      <alignment wrapText="1"/>
    </xf>
    <xf numFmtId="166" fontId="38" fillId="0" borderId="3" xfId="5" applyNumberFormat="1" applyFont="1" applyFill="1" applyBorder="1"/>
    <xf numFmtId="0" fontId="38" fillId="0" borderId="3" xfId="0" applyFont="1" applyBorder="1" applyAlignment="1">
      <alignment wrapText="1"/>
    </xf>
    <xf numFmtId="43" fontId="38" fillId="0" borderId="3" xfId="5" applyNumberFormat="1" applyFont="1" applyFill="1" applyBorder="1" applyAlignment="1">
      <alignment horizontal="center" wrapText="1"/>
    </xf>
    <xf numFmtId="165" fontId="35" fillId="0" borderId="0" xfId="0" applyNumberFormat="1" applyFont="1"/>
    <xf numFmtId="166" fontId="35" fillId="0" borderId="3" xfId="5" applyNumberFormat="1" applyFont="1" applyFill="1" applyBorder="1"/>
    <xf numFmtId="165" fontId="42" fillId="0" borderId="3" xfId="5" applyFont="1" applyFill="1" applyBorder="1" applyAlignment="1">
      <alignment horizontal="center" vertical="top" wrapText="1"/>
    </xf>
    <xf numFmtId="0" fontId="37" fillId="0" borderId="3" xfId="0" applyFont="1" applyBorder="1" applyAlignment="1">
      <alignment vertical="center" wrapText="1"/>
    </xf>
    <xf numFmtId="165" fontId="42" fillId="0" borderId="3" xfId="5" applyFont="1" applyFill="1" applyBorder="1" applyAlignment="1">
      <alignment horizontal="center" vertical="center" wrapText="1"/>
    </xf>
    <xf numFmtId="166" fontId="38" fillId="0" borderId="3" xfId="5" applyNumberFormat="1" applyFont="1" applyFill="1" applyBorder="1" applyAlignment="1">
      <alignment vertical="center"/>
    </xf>
    <xf numFmtId="165" fontId="35" fillId="0" borderId="3" xfId="5" applyFont="1" applyFill="1" applyBorder="1" applyAlignment="1">
      <alignment vertical="center"/>
    </xf>
    <xf numFmtId="165" fontId="39" fillId="0" borderId="3" xfId="5" applyFont="1" applyFill="1" applyBorder="1" applyAlignment="1">
      <alignment vertical="center"/>
    </xf>
    <xf numFmtId="0" fontId="37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7" fillId="0" borderId="14" xfId="0" applyFont="1" applyBorder="1" applyAlignment="1">
      <alignment vertical="top" wrapText="1"/>
    </xf>
    <xf numFmtId="43" fontId="37" fillId="0" borderId="3" xfId="5" applyNumberFormat="1" applyFont="1" applyFill="1" applyBorder="1" applyAlignment="1">
      <alignment horizontal="center"/>
    </xf>
    <xf numFmtId="2" fontId="37" fillId="0" borderId="3" xfId="0" applyNumberFormat="1" applyFont="1" applyBorder="1" applyAlignment="1">
      <alignment vertical="top" wrapText="1"/>
    </xf>
    <xf numFmtId="165" fontId="38" fillId="3" borderId="3" xfId="5" applyFont="1" applyFill="1" applyBorder="1" applyAlignment="1">
      <alignment horizontal="center" wrapText="1"/>
    </xf>
    <xf numFmtId="2" fontId="37" fillId="0" borderId="3" xfId="0" applyNumberFormat="1" applyFont="1" applyBorder="1" applyAlignment="1">
      <alignment vertical="top"/>
    </xf>
    <xf numFmtId="165" fontId="38" fillId="3" borderId="3" xfId="5" applyFont="1" applyFill="1" applyBorder="1" applyAlignment="1">
      <alignment horizontal="center"/>
    </xf>
    <xf numFmtId="0" fontId="34" fillId="0" borderId="4" xfId="0" applyFont="1" applyBorder="1"/>
    <xf numFmtId="0" fontId="36" fillId="0" borderId="3" xfId="0" applyFont="1" applyBorder="1" applyAlignment="1">
      <alignment horizontal="center"/>
    </xf>
    <xf numFmtId="0" fontId="38" fillId="0" borderId="5" xfId="0" applyFont="1" applyBorder="1" applyAlignment="1">
      <alignment horizontal="right" vertical="center"/>
    </xf>
    <xf numFmtId="165" fontId="38" fillId="0" borderId="3" xfId="0" applyNumberFormat="1" applyFont="1" applyBorder="1" applyAlignment="1">
      <alignment horizontal="lef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8" fillId="0" borderId="3" xfId="0" applyFont="1" applyBorder="1" applyAlignment="1">
      <alignment horizontal="left"/>
    </xf>
    <xf numFmtId="0" fontId="34" fillId="0" borderId="0" xfId="0" applyFont="1"/>
    <xf numFmtId="43" fontId="34" fillId="4" borderId="3" xfId="0" applyNumberFormat="1" applyFont="1" applyFill="1" applyBorder="1" applyAlignment="1">
      <alignment horizontal="right"/>
    </xf>
    <xf numFmtId="165" fontId="38" fillId="0" borderId="1" xfId="5" applyFont="1" applyFill="1" applyBorder="1" applyAlignment="1">
      <alignment horizontal="left" wrapText="1"/>
    </xf>
    <xf numFmtId="165" fontId="38" fillId="0" borderId="0" xfId="0" applyNumberFormat="1" applyFont="1" applyAlignment="1">
      <alignment horizontal="left"/>
    </xf>
    <xf numFmtId="165" fontId="37" fillId="0" borderId="3" xfId="5" applyFont="1" applyFill="1" applyBorder="1" applyAlignment="1">
      <alignment horizontal="left"/>
    </xf>
    <xf numFmtId="165" fontId="34" fillId="0" borderId="0" xfId="0" applyNumberFormat="1" applyFont="1" applyAlignment="1">
      <alignment horizontal="left"/>
    </xf>
    <xf numFmtId="0" fontId="34" fillId="0" borderId="0" xfId="0" applyFont="1" applyAlignment="1">
      <alignment horizontal="left"/>
    </xf>
    <xf numFmtId="0" fontId="34" fillId="3" borderId="0" xfId="0" applyFont="1" applyFill="1" applyAlignment="1">
      <alignment horizontal="left"/>
    </xf>
    <xf numFmtId="165" fontId="34" fillId="0" borderId="0" xfId="5" applyFont="1" applyAlignment="1">
      <alignment horizontal="left"/>
    </xf>
    <xf numFmtId="0" fontId="34" fillId="0" borderId="3" xfId="0" applyFont="1" applyBorder="1" applyAlignment="1">
      <alignment horizontal="left"/>
    </xf>
    <xf numFmtId="165" fontId="38" fillId="0" borderId="3" xfId="5" applyFont="1" applyFill="1" applyBorder="1" applyAlignment="1">
      <alignment horizontal="left"/>
    </xf>
    <xf numFmtId="165" fontId="38" fillId="0" borderId="3" xfId="5" applyFont="1" applyBorder="1" applyAlignment="1">
      <alignment horizontal="left"/>
    </xf>
    <xf numFmtId="43" fontId="34" fillId="0" borderId="3" xfId="0" applyNumberFormat="1" applyFont="1" applyBorder="1" applyAlignment="1">
      <alignment horizontal="right"/>
    </xf>
    <xf numFmtId="165" fontId="45" fillId="0" borderId="3" xfId="5" applyFont="1" applyFill="1" applyBorder="1"/>
    <xf numFmtId="165" fontId="38" fillId="0" borderId="0" xfId="5" applyFont="1" applyFill="1" applyAlignment="1">
      <alignment horizontal="left"/>
    </xf>
    <xf numFmtId="165" fontId="38" fillId="0" borderId="0" xfId="5" applyFont="1" applyAlignment="1">
      <alignment horizontal="left"/>
    </xf>
    <xf numFmtId="0" fontId="44" fillId="0" borderId="0" xfId="55" applyFont="1">
      <alignment vertical="top"/>
    </xf>
    <xf numFmtId="0" fontId="44" fillId="0" borderId="0" xfId="55" applyFont="1" applyAlignment="1">
      <alignment horizontal="right" vertical="top" wrapText="1" readingOrder="1"/>
    </xf>
    <xf numFmtId="0" fontId="44" fillId="0" borderId="0" xfId="55" applyFont="1" applyAlignment="1">
      <alignment horizontal="left" vertical="top" wrapText="1" readingOrder="1"/>
    </xf>
    <xf numFmtId="39" fontId="44" fillId="0" borderId="0" xfId="55" applyNumberFormat="1" applyFont="1" applyAlignment="1">
      <alignment horizontal="right" vertical="top"/>
    </xf>
    <xf numFmtId="43" fontId="44" fillId="0" borderId="0" xfId="56" applyFont="1" applyAlignment="1">
      <alignment horizontal="right" vertical="top" wrapText="1" readingOrder="1"/>
    </xf>
    <xf numFmtId="165" fontId="34" fillId="0" borderId="3" xfId="5" applyFont="1" applyBorder="1" applyAlignment="1">
      <alignment horizontal="center" wrapText="1"/>
    </xf>
    <xf numFmtId="0" fontId="34" fillId="0" borderId="3" xfId="0" applyFont="1" applyBorder="1" applyAlignment="1">
      <alignment horizontal="center" wrapText="1"/>
    </xf>
    <xf numFmtId="0" fontId="34" fillId="4" borderId="3" xfId="0" applyFont="1" applyFill="1" applyBorder="1" applyAlignment="1">
      <alignment horizontal="left"/>
    </xf>
    <xf numFmtId="165" fontId="37" fillId="0" borderId="3" xfId="5" applyFont="1" applyFill="1" applyBorder="1" applyAlignment="1">
      <alignment horizontal="left" wrapText="1"/>
    </xf>
    <xf numFmtId="165" fontId="38" fillId="0" borderId="3" xfId="5" applyFont="1" applyFill="1" applyBorder="1" applyAlignment="1">
      <alignment horizontal="left" wrapText="1"/>
    </xf>
    <xf numFmtId="165" fontId="38" fillId="4" borderId="3" xfId="5" applyFont="1" applyFill="1" applyBorder="1" applyAlignment="1">
      <alignment horizontal="left"/>
    </xf>
    <xf numFmtId="165" fontId="37" fillId="4" borderId="3" xfId="5" applyFont="1" applyFill="1" applyBorder="1" applyAlignment="1">
      <alignment horizontal="left"/>
    </xf>
    <xf numFmtId="165" fontId="34" fillId="0" borderId="3" xfId="5" applyFont="1" applyBorder="1" applyAlignment="1">
      <alignment horizontal="left"/>
    </xf>
    <xf numFmtId="0" fontId="38" fillId="3" borderId="3" xfId="0" applyFont="1" applyFill="1" applyBorder="1" applyAlignment="1">
      <alignment horizontal="left" wrapText="1"/>
    </xf>
    <xf numFmtId="165" fontId="37" fillId="0" borderId="3" xfId="5" applyFont="1" applyBorder="1" applyAlignment="1">
      <alignment horizontal="left"/>
    </xf>
    <xf numFmtId="165" fontId="37" fillId="0" borderId="3" xfId="5" applyFont="1" applyFill="1" applyBorder="1" applyAlignment="1">
      <alignment horizontal="right"/>
    </xf>
    <xf numFmtId="0" fontId="38" fillId="3" borderId="3" xfId="0" applyFont="1" applyFill="1" applyBorder="1" applyAlignment="1">
      <alignment horizontal="left"/>
    </xf>
    <xf numFmtId="0" fontId="34" fillId="3" borderId="3" xfId="0" applyFont="1" applyFill="1" applyBorder="1" applyAlignment="1">
      <alignment horizontal="left"/>
    </xf>
    <xf numFmtId="165" fontId="37" fillId="3" borderId="3" xfId="5" applyFont="1" applyFill="1" applyBorder="1" applyAlignment="1">
      <alignment horizontal="left"/>
    </xf>
    <xf numFmtId="167" fontId="34" fillId="0" borderId="3" xfId="0" applyNumberFormat="1" applyFont="1" applyBorder="1" applyAlignment="1">
      <alignment horizontal="left"/>
    </xf>
    <xf numFmtId="43" fontId="38" fillId="0" borderId="3" xfId="0" applyNumberFormat="1" applyFont="1" applyBorder="1" applyAlignment="1">
      <alignment horizontal="left"/>
    </xf>
    <xf numFmtId="165" fontId="38" fillId="0" borderId="3" xfId="5" applyFont="1" applyBorder="1"/>
    <xf numFmtId="43" fontId="34" fillId="4" borderId="3" xfId="0" applyNumberFormat="1" applyFont="1" applyFill="1" applyBorder="1" applyAlignment="1">
      <alignment horizontal="left"/>
    </xf>
    <xf numFmtId="0" fontId="45" fillId="0" borderId="3" xfId="0" applyFont="1" applyBorder="1" applyAlignment="1">
      <alignment wrapText="1"/>
    </xf>
    <xf numFmtId="4" fontId="35" fillId="0" borderId="3" xfId="0" applyNumberFormat="1" applyFont="1" applyBorder="1"/>
    <xf numFmtId="0" fontId="45" fillId="0" borderId="3" xfId="0" applyFont="1" applyBorder="1" applyAlignment="1">
      <alignment horizontal="left" wrapText="1"/>
    </xf>
    <xf numFmtId="43" fontId="34" fillId="0" borderId="3" xfId="0" applyNumberFormat="1" applyFont="1" applyBorder="1" applyAlignment="1">
      <alignment horizontal="left"/>
    </xf>
    <xf numFmtId="0" fontId="37" fillId="3" borderId="3" xfId="0" applyFont="1" applyFill="1" applyBorder="1" applyAlignment="1">
      <alignment vertical="top" wrapText="1"/>
    </xf>
    <xf numFmtId="167" fontId="37" fillId="0" borderId="3" xfId="0" applyNumberFormat="1" applyFont="1" applyBorder="1" applyAlignment="1">
      <alignment horizontal="right" vertical="top" wrapText="1"/>
    </xf>
    <xf numFmtId="2" fontId="37" fillId="0" borderId="14" xfId="0" applyNumberFormat="1" applyFont="1" applyBorder="1" applyAlignment="1">
      <alignment vertical="top" wrapText="1"/>
    </xf>
    <xf numFmtId="43" fontId="45" fillId="0" borderId="0" xfId="0" applyNumberFormat="1" applyFont="1" applyAlignment="1">
      <alignment vertical="top"/>
    </xf>
    <xf numFmtId="165" fontId="42" fillId="0" borderId="3" xfId="5" applyFont="1" applyFill="1" applyBorder="1"/>
    <xf numFmtId="43" fontId="35" fillId="0" borderId="0" xfId="0" applyNumberFormat="1" applyFont="1"/>
    <xf numFmtId="165" fontId="38" fillId="0" borderId="0" xfId="5" applyFont="1" applyAlignment="1">
      <alignment horizontal="center"/>
    </xf>
    <xf numFmtId="165" fontId="34" fillId="0" borderId="0" xfId="5" applyFont="1"/>
    <xf numFmtId="43" fontId="38" fillId="0" borderId="0" xfId="0" applyNumberFormat="1" applyFont="1" applyAlignment="1">
      <alignment horizontal="left"/>
    </xf>
    <xf numFmtId="165" fontId="38" fillId="7" borderId="3" xfId="5" applyFont="1" applyFill="1" applyBorder="1" applyAlignment="1">
      <alignment horizontal="center" wrapText="1"/>
    </xf>
    <xf numFmtId="165" fontId="37" fillId="0" borderId="0" xfId="5" applyFont="1" applyAlignment="1">
      <alignment vertical="top"/>
    </xf>
    <xf numFmtId="0" fontId="43" fillId="0" borderId="12" xfId="0" applyFont="1" applyBorder="1" applyAlignment="1">
      <alignment horizontal="center" wrapText="1"/>
    </xf>
    <xf numFmtId="0" fontId="34" fillId="0" borderId="13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36" fillId="0" borderId="7" xfId="5" applyNumberFormat="1" applyFont="1" applyFill="1" applyBorder="1" applyAlignment="1">
      <alignment horizontal="center" vertical="center" wrapText="1"/>
    </xf>
    <xf numFmtId="0" fontId="36" fillId="0" borderId="8" xfId="5" applyNumberFormat="1" applyFont="1" applyFill="1" applyBorder="1" applyAlignment="1">
      <alignment horizontal="center" vertical="center" wrapText="1"/>
    </xf>
    <xf numFmtId="0" fontId="36" fillId="0" borderId="6" xfId="5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44" fillId="0" borderId="0" xfId="55" applyFont="1" applyAlignment="1">
      <alignment horizontal="left" vertical="top" wrapText="1" readingOrder="1"/>
    </xf>
    <xf numFmtId="0" fontId="44" fillId="0" borderId="0" xfId="55" applyFont="1" applyAlignment="1">
      <alignment horizontal="right" vertical="top"/>
    </xf>
    <xf numFmtId="39" fontId="44" fillId="0" borderId="0" xfId="55" applyNumberFormat="1" applyFont="1" applyAlignment="1">
      <alignment horizontal="right" vertical="top"/>
    </xf>
    <xf numFmtId="0" fontId="46" fillId="0" borderId="0" xfId="55" applyFont="1" applyAlignment="1">
      <alignment horizontal="left" vertical="top" wrapText="1" readingOrder="1"/>
    </xf>
    <xf numFmtId="0" fontId="44" fillId="0" borderId="17" xfId="55" applyFont="1" applyBorder="1" applyAlignment="1">
      <alignment horizontal="left" vertical="top" wrapText="1" readingOrder="1"/>
    </xf>
    <xf numFmtId="0" fontId="46" fillId="0" borderId="18" xfId="55" applyFont="1" applyBorder="1" applyAlignment="1">
      <alignment horizontal="center" vertical="top" wrapText="1" readingOrder="1"/>
    </xf>
    <xf numFmtId="0" fontId="44" fillId="0" borderId="0" xfId="55" applyFont="1" applyAlignment="1">
      <alignment horizontal="right" vertical="top" wrapText="1" readingOrder="1"/>
    </xf>
    <xf numFmtId="0" fontId="46" fillId="0" borderId="0" xfId="55" applyFont="1" applyAlignment="1">
      <alignment horizontal="center" vertical="top" wrapText="1" readingOrder="1"/>
    </xf>
    <xf numFmtId="0" fontId="22" fillId="0" borderId="0" xfId="0" applyFont="1" applyAlignment="1">
      <alignment horizontal="center" wrapText="1"/>
    </xf>
    <xf numFmtId="0" fontId="18" fillId="0" borderId="9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1" fillId="0" borderId="7" xfId="19" applyFont="1" applyBorder="1" applyAlignment="1">
      <alignment horizontal="center"/>
    </xf>
    <xf numFmtId="0" fontId="21" fillId="0" borderId="8" xfId="19" applyFont="1" applyBorder="1" applyAlignment="1">
      <alignment horizontal="center"/>
    </xf>
    <xf numFmtId="0" fontId="21" fillId="0" borderId="6" xfId="19" applyFont="1" applyBorder="1" applyAlignment="1">
      <alignment horizontal="center"/>
    </xf>
    <xf numFmtId="0" fontId="21" fillId="5" borderId="7" xfId="19" applyFont="1" applyFill="1" applyBorder="1" applyAlignment="1">
      <alignment horizontal="left"/>
    </xf>
    <xf numFmtId="0" fontId="21" fillId="5" borderId="8" xfId="19" applyFont="1" applyFill="1" applyBorder="1" applyAlignment="1">
      <alignment horizontal="left"/>
    </xf>
    <xf numFmtId="0" fontId="21" fillId="5" borderId="6" xfId="19" applyFont="1" applyFill="1" applyBorder="1" applyAlignment="1">
      <alignment horizontal="left"/>
    </xf>
    <xf numFmtId="0" fontId="21" fillId="0" borderId="3" xfId="19" applyFont="1" applyBorder="1" applyAlignment="1">
      <alignment horizontal="left"/>
    </xf>
    <xf numFmtId="165" fontId="17" fillId="0" borderId="7" xfId="5" applyFont="1" applyBorder="1" applyAlignment="1">
      <alignment horizontal="left"/>
    </xf>
    <xf numFmtId="165" fontId="17" fillId="0" borderId="8" xfId="5" applyFont="1" applyBorder="1" applyAlignment="1">
      <alignment horizontal="left"/>
    </xf>
    <xf numFmtId="165" fontId="17" fillId="0" borderId="6" xfId="5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1" fillId="0" borderId="7" xfId="19" applyFont="1" applyBorder="1" applyAlignment="1">
      <alignment horizontal="left"/>
    </xf>
    <xf numFmtId="0" fontId="21" fillId="0" borderId="8" xfId="19" applyFont="1" applyBorder="1" applyAlignment="1">
      <alignment horizontal="left"/>
    </xf>
    <xf numFmtId="0" fontId="21" fillId="0" borderId="6" xfId="19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21" fillId="0" borderId="3" xfId="19" applyFont="1" applyBorder="1" applyAlignment="1">
      <alignment horizontal="center"/>
    </xf>
    <xf numFmtId="0" fontId="24" fillId="0" borderId="4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center" wrapText="1"/>
    </xf>
    <xf numFmtId="0" fontId="21" fillId="0" borderId="1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4" fillId="0" borderId="14" xfId="0" applyFont="1" applyBorder="1" applyAlignment="1">
      <alignment horizontal="left" vertical="center" wrapText="1"/>
    </xf>
  </cellXfs>
  <cellStyles count="57">
    <cellStyle name="Comma" xfId="5" builtinId="3"/>
    <cellStyle name="Comma 10" xfId="30" xr:uid="{00000000-0005-0000-0000-000001000000}"/>
    <cellStyle name="Comma 11" xfId="24" xr:uid="{00000000-0005-0000-0000-000002000000}"/>
    <cellStyle name="Comma 12" xfId="50" xr:uid="{00000000-0005-0000-0000-000003000000}"/>
    <cellStyle name="Comma 13" xfId="53" xr:uid="{00000000-0005-0000-0000-000004000000}"/>
    <cellStyle name="Comma 14" xfId="56" xr:uid="{00000000-0005-0000-0000-000005000000}"/>
    <cellStyle name="Comma 2" xfId="7" xr:uid="{00000000-0005-0000-0000-000006000000}"/>
    <cellStyle name="Comma 2 2" xfId="33" xr:uid="{00000000-0005-0000-0000-000007000000}"/>
    <cellStyle name="Comma 3" xfId="9" xr:uid="{00000000-0005-0000-0000-000008000000}"/>
    <cellStyle name="Comma 3 2" xfId="35" xr:uid="{00000000-0005-0000-0000-000009000000}"/>
    <cellStyle name="Comma 4" xfId="11" xr:uid="{00000000-0005-0000-0000-00000A000000}"/>
    <cellStyle name="Comma 4 2" xfId="37" xr:uid="{00000000-0005-0000-0000-00000B000000}"/>
    <cellStyle name="Comma 5" xfId="13" xr:uid="{00000000-0005-0000-0000-00000C000000}"/>
    <cellStyle name="Comma 5 2" xfId="39" xr:uid="{00000000-0005-0000-0000-00000D000000}"/>
    <cellStyle name="Comma 6" xfId="15" xr:uid="{00000000-0005-0000-0000-00000E000000}"/>
    <cellStyle name="Comma 6 2" xfId="41" xr:uid="{00000000-0005-0000-0000-00000F000000}"/>
    <cellStyle name="Comma 7" xfId="17" xr:uid="{00000000-0005-0000-0000-000010000000}"/>
    <cellStyle name="Comma 7 2" xfId="43" xr:uid="{00000000-0005-0000-0000-000011000000}"/>
    <cellStyle name="Comma 8" xfId="20" xr:uid="{00000000-0005-0000-0000-000012000000}"/>
    <cellStyle name="Comma 8 2" xfId="46" xr:uid="{00000000-0005-0000-0000-000013000000}"/>
    <cellStyle name="Comma 9" xfId="22" xr:uid="{00000000-0005-0000-0000-000014000000}"/>
    <cellStyle name="Comma 9 2" xfId="48" xr:uid="{00000000-0005-0000-0000-000015000000}"/>
    <cellStyle name="Currency" xfId="51" builtinId="4"/>
    <cellStyle name="Currency 2" xfId="31" xr:uid="{00000000-0005-0000-0000-000017000000}"/>
    <cellStyle name="Heading 1" xfId="2" builtinId="16" customBuiltin="1"/>
    <cellStyle name="Heading 1 2" xfId="27" xr:uid="{00000000-0005-0000-0000-000019000000}"/>
    <cellStyle name="Heading 2" xfId="3" builtinId="17" customBuiltin="1"/>
    <cellStyle name="Heading 2 2" xfId="28" xr:uid="{00000000-0005-0000-0000-00001B000000}"/>
    <cellStyle name="Heading 3" xfId="4" builtinId="18" customBuiltin="1"/>
    <cellStyle name="Heading 3 2" xfId="29" xr:uid="{00000000-0005-0000-0000-00001D000000}"/>
    <cellStyle name="Normal" xfId="0" builtinId="0" customBuiltin="1"/>
    <cellStyle name="Normal 10" xfId="25" xr:uid="{00000000-0005-0000-0000-00001F000000}"/>
    <cellStyle name="Normal 11" xfId="23" xr:uid="{00000000-0005-0000-0000-000020000000}"/>
    <cellStyle name="Normal 12" xfId="49" xr:uid="{00000000-0005-0000-0000-000021000000}"/>
    <cellStyle name="Normal 13" xfId="52" xr:uid="{00000000-0005-0000-0000-000022000000}"/>
    <cellStyle name="Normal 14" xfId="54" xr:uid="{00000000-0005-0000-0000-000023000000}"/>
    <cellStyle name="Normal 15" xfId="55" xr:uid="{00000000-0005-0000-0000-000024000000}"/>
    <cellStyle name="Normal 2" xfId="6" xr:uid="{00000000-0005-0000-0000-000025000000}"/>
    <cellStyle name="Normal 2 2" xfId="32" xr:uid="{00000000-0005-0000-0000-000026000000}"/>
    <cellStyle name="Normal 3" xfId="8" xr:uid="{00000000-0005-0000-0000-000027000000}"/>
    <cellStyle name="Normal 3 2" xfId="34" xr:uid="{00000000-0005-0000-0000-000028000000}"/>
    <cellStyle name="Normal 4" xfId="10" xr:uid="{00000000-0005-0000-0000-000029000000}"/>
    <cellStyle name="Normal 4 2" xfId="36" xr:uid="{00000000-0005-0000-0000-00002A000000}"/>
    <cellStyle name="Normal 5" xfId="12" xr:uid="{00000000-0005-0000-0000-00002B000000}"/>
    <cellStyle name="Normal 5 2" xfId="38" xr:uid="{00000000-0005-0000-0000-00002C000000}"/>
    <cellStyle name="Normal 6" xfId="14" xr:uid="{00000000-0005-0000-0000-00002D000000}"/>
    <cellStyle name="Normal 6 2" xfId="40" xr:uid="{00000000-0005-0000-0000-00002E000000}"/>
    <cellStyle name="Normal 7" xfId="16" xr:uid="{00000000-0005-0000-0000-00002F000000}"/>
    <cellStyle name="Normal 7 2" xfId="42" xr:uid="{00000000-0005-0000-0000-000030000000}"/>
    <cellStyle name="Normal 8" xfId="19" xr:uid="{00000000-0005-0000-0000-000031000000}"/>
    <cellStyle name="Normal 8 2" xfId="45" xr:uid="{00000000-0005-0000-0000-000032000000}"/>
    <cellStyle name="Normal 9" xfId="21" xr:uid="{00000000-0005-0000-0000-000033000000}"/>
    <cellStyle name="Normal 9 2" xfId="47" xr:uid="{00000000-0005-0000-0000-000034000000}"/>
    <cellStyle name="Percent" xfId="18" builtinId="5"/>
    <cellStyle name="Percent 2" xfId="44" xr:uid="{00000000-0005-0000-0000-000036000000}"/>
    <cellStyle name="Title" xfId="1" builtinId="15" customBuiltin="1"/>
    <cellStyle name="Title 2" xfId="26" xr:uid="{00000000-0005-0000-0000-000038000000}"/>
  </cellStyles>
  <dxfs count="4">
    <dxf>
      <fill>
        <patternFill>
          <bgColor theme="2"/>
        </patternFill>
      </fill>
    </dxf>
    <dxf>
      <font>
        <b/>
        <i val="0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2"/>
      </font>
    </dxf>
  </dxfs>
  <tableStyles count="2" defaultTableStyle="TableStyleMedium2" defaultPivotStyle="PivotStyleLight16">
    <tableStyle name="Check Register Summary" pivot="0" count="2" xr9:uid="{00000000-0011-0000-FFFF-FFFF00000000}">
      <tableStyleElement type="wholeTable" dxfId="3"/>
      <tableStyleElement type="secondRowStripe" dxfId="2"/>
    </tableStyle>
    <tableStyle name="CheckRegister" pivot="0" count="2" xr9:uid="{00000000-0011-0000-FFFF-FFFF01000000}">
      <tableStyleElement type="headerRow" dxfId="1"/>
      <tableStyleElement type="secondRowStripe" dxfId="0"/>
    </tableStyle>
  </tableStyles>
  <colors>
    <mruColors>
      <color rgb="FFF8F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9</xdr:col>
      <xdr:colOff>838200</xdr:colOff>
      <xdr:row>2</xdr:row>
      <xdr:rowOff>609600</xdr:rowOff>
    </xdr:to>
    <xdr:pic>
      <xdr:nvPicPr>
        <xdr:cNvPr id="2" name="Picture 102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247650"/>
          <a:ext cx="914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9</xdr:col>
      <xdr:colOff>838200</xdr:colOff>
      <xdr:row>2</xdr:row>
      <xdr:rowOff>609600</xdr:rowOff>
    </xdr:to>
    <xdr:pic>
      <xdr:nvPicPr>
        <xdr:cNvPr id="2" name="Picture 102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247650"/>
          <a:ext cx="914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WISEFU~1/AppData/Local/Temp/WISE-2020/OTHERS%20FOR%20IFR%20DEC%202019/SUBMITTED%20IFR%20AS%20AT%2031ST%20DECEMBER%202019/IFR-Final%20Version/IFR%20DEC%202019%20FINAL%20SUBMITTED/IFR%202020/IFR%20REPORT%20FOR%20THE%20YEAR%20ENDED%2030TH%20JUNE%202020-IDA%20WB-FINAL.xlsx?FAF8B246" TargetMode="External"/><Relationship Id="rId1" Type="http://schemas.openxmlformats.org/officeDocument/2006/relationships/externalLinkPath" Target="file:///\\FAF8B246\IFR%20REPORT%20FOR%20THE%20YEAR%20ENDED%2030TH%20JUNE%202020-IDA%20WB-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Annual%20Workplan%2015022020%20(2)-New%20Version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UARY-JUNE 2020"/>
      <sheetName val="UFB"/>
      <sheetName val="SSUF"/>
      <sheetName val="SREEPS"/>
      <sheetName val="Expenditure per DLI"/>
      <sheetName val="BANK RECONCILLIATION-TZS ACCOUN"/>
      <sheetName val="BANK RECONCILLIATION-USD ACCOUN"/>
      <sheetName val="Sheet1"/>
    </sheetNames>
    <sheetDataSet>
      <sheetData sheetId="0">
        <row r="9">
          <cell r="B9" t="str">
            <v>Interest Income</v>
          </cell>
        </row>
        <row r="11">
          <cell r="B11" t="str">
            <v>Car Hire Income</v>
          </cell>
        </row>
        <row r="12">
          <cell r="B12" t="str">
            <v>Refunds from Retirements-ACE II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II"/>
      <sheetName val="Planned Output, Activity &amp; Cost"/>
      <sheetName val="Sheet1"/>
    </sheetNames>
    <sheetDataSet>
      <sheetData sheetId="0" refreshError="1"/>
      <sheetData sheetId="1" refreshError="1">
        <row r="6">
          <cell r="B6">
            <v>1.1000000000000001</v>
          </cell>
        </row>
        <row r="16">
          <cell r="B16">
            <v>3.1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Check Register">
      <a:dk1>
        <a:sysClr val="windowText" lastClr="000000"/>
      </a:dk1>
      <a:lt1>
        <a:sysClr val="window" lastClr="FFFFFF"/>
      </a:lt1>
      <a:dk2>
        <a:srgbClr val="595459"/>
      </a:dk2>
      <a:lt2>
        <a:srgbClr val="F1EFED"/>
      </a:lt2>
      <a:accent1>
        <a:srgbClr val="56BCBE"/>
      </a:accent1>
      <a:accent2>
        <a:srgbClr val="7FAC39"/>
      </a:accent2>
      <a:accent3>
        <a:srgbClr val="FF6927"/>
      </a:accent3>
      <a:accent4>
        <a:srgbClr val="5B7799"/>
      </a:accent4>
      <a:accent5>
        <a:srgbClr val="EAE400"/>
      </a:accent5>
      <a:accent6>
        <a:srgbClr val="E60000"/>
      </a:accent6>
      <a:hlink>
        <a:srgbClr val="5B7799"/>
      </a:hlink>
      <a:folHlink>
        <a:srgbClr val="56BCBE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opLeftCell="A49" zoomScaleNormal="100" workbookViewId="0">
      <selection activeCell="D63" sqref="D63"/>
    </sheetView>
  </sheetViews>
  <sheetFormatPr defaultRowHeight="20.25" customHeight="1" x14ac:dyDescent="0.35"/>
  <cols>
    <col min="1" max="1" width="4.5703125" style="145" bestFit="1" customWidth="1"/>
    <col min="2" max="2" width="73" style="145" customWidth="1"/>
    <col min="3" max="4" width="25.5703125" style="145" customWidth="1"/>
    <col min="5" max="5" width="29.140625" style="145" customWidth="1"/>
    <col min="6" max="6" width="15.7109375" style="163" bestFit="1" customWidth="1"/>
    <col min="7" max="249" width="9.140625" style="145"/>
    <col min="250" max="250" width="59.28515625" style="145" customWidth="1"/>
    <col min="251" max="251" width="0" style="145" hidden="1" customWidth="1"/>
    <col min="252" max="252" width="0.140625" style="145" customWidth="1"/>
    <col min="253" max="254" width="0" style="145" hidden="1" customWidth="1"/>
    <col min="255" max="255" width="22.42578125" style="145" customWidth="1"/>
    <col min="256" max="257" width="25" style="145" customWidth="1"/>
    <col min="258" max="258" width="23.140625" style="145" customWidth="1"/>
    <col min="259" max="259" width="10" style="145" bestFit="1" customWidth="1"/>
    <col min="260" max="262" width="12.42578125" style="145" bestFit="1" customWidth="1"/>
    <col min="263" max="505" width="9.140625" style="145"/>
    <col min="506" max="506" width="59.28515625" style="145" customWidth="1"/>
    <col min="507" max="507" width="0" style="145" hidden="1" customWidth="1"/>
    <col min="508" max="508" width="0.140625" style="145" customWidth="1"/>
    <col min="509" max="510" width="0" style="145" hidden="1" customWidth="1"/>
    <col min="511" max="511" width="22.42578125" style="145" customWidth="1"/>
    <col min="512" max="513" width="25" style="145" customWidth="1"/>
    <col min="514" max="514" width="23.140625" style="145" customWidth="1"/>
    <col min="515" max="515" width="10" style="145" bestFit="1" customWidth="1"/>
    <col min="516" max="518" width="12.42578125" style="145" bestFit="1" customWidth="1"/>
    <col min="519" max="761" width="9.140625" style="145"/>
    <col min="762" max="762" width="59.28515625" style="145" customWidth="1"/>
    <col min="763" max="763" width="0" style="145" hidden="1" customWidth="1"/>
    <col min="764" max="764" width="0.140625" style="145" customWidth="1"/>
    <col min="765" max="766" width="0" style="145" hidden="1" customWidth="1"/>
    <col min="767" max="767" width="22.42578125" style="145" customWidth="1"/>
    <col min="768" max="769" width="25" style="145" customWidth="1"/>
    <col min="770" max="770" width="23.140625" style="145" customWidth="1"/>
    <col min="771" max="771" width="10" style="145" bestFit="1" customWidth="1"/>
    <col min="772" max="774" width="12.42578125" style="145" bestFit="1" customWidth="1"/>
    <col min="775" max="1017" width="9.140625" style="145"/>
    <col min="1018" max="1018" width="59.28515625" style="145" customWidth="1"/>
    <col min="1019" max="1019" width="0" style="145" hidden="1" customWidth="1"/>
    <col min="1020" max="1020" width="0.140625" style="145" customWidth="1"/>
    <col min="1021" max="1022" width="0" style="145" hidden="1" customWidth="1"/>
    <col min="1023" max="1023" width="22.42578125" style="145" customWidth="1"/>
    <col min="1024" max="1025" width="25" style="145" customWidth="1"/>
    <col min="1026" max="1026" width="23.140625" style="145" customWidth="1"/>
    <col min="1027" max="1027" width="10" style="145" bestFit="1" customWidth="1"/>
    <col min="1028" max="1030" width="12.42578125" style="145" bestFit="1" customWidth="1"/>
    <col min="1031" max="1273" width="9.140625" style="145"/>
    <col min="1274" max="1274" width="59.28515625" style="145" customWidth="1"/>
    <col min="1275" max="1275" width="0" style="145" hidden="1" customWidth="1"/>
    <col min="1276" max="1276" width="0.140625" style="145" customWidth="1"/>
    <col min="1277" max="1278" width="0" style="145" hidden="1" customWidth="1"/>
    <col min="1279" max="1279" width="22.42578125" style="145" customWidth="1"/>
    <col min="1280" max="1281" width="25" style="145" customWidth="1"/>
    <col min="1282" max="1282" width="23.140625" style="145" customWidth="1"/>
    <col min="1283" max="1283" width="10" style="145" bestFit="1" customWidth="1"/>
    <col min="1284" max="1286" width="12.42578125" style="145" bestFit="1" customWidth="1"/>
    <col min="1287" max="1529" width="9.140625" style="145"/>
    <col min="1530" max="1530" width="59.28515625" style="145" customWidth="1"/>
    <col min="1531" max="1531" width="0" style="145" hidden="1" customWidth="1"/>
    <col min="1532" max="1532" width="0.140625" style="145" customWidth="1"/>
    <col min="1533" max="1534" width="0" style="145" hidden="1" customWidth="1"/>
    <col min="1535" max="1535" width="22.42578125" style="145" customWidth="1"/>
    <col min="1536" max="1537" width="25" style="145" customWidth="1"/>
    <col min="1538" max="1538" width="23.140625" style="145" customWidth="1"/>
    <col min="1539" max="1539" width="10" style="145" bestFit="1" customWidth="1"/>
    <col min="1540" max="1542" width="12.42578125" style="145" bestFit="1" customWidth="1"/>
    <col min="1543" max="1785" width="9.140625" style="145"/>
    <col min="1786" max="1786" width="59.28515625" style="145" customWidth="1"/>
    <col min="1787" max="1787" width="0" style="145" hidden="1" customWidth="1"/>
    <col min="1788" max="1788" width="0.140625" style="145" customWidth="1"/>
    <col min="1789" max="1790" width="0" style="145" hidden="1" customWidth="1"/>
    <col min="1791" max="1791" width="22.42578125" style="145" customWidth="1"/>
    <col min="1792" max="1793" width="25" style="145" customWidth="1"/>
    <col min="1794" max="1794" width="23.140625" style="145" customWidth="1"/>
    <col min="1795" max="1795" width="10" style="145" bestFit="1" customWidth="1"/>
    <col min="1796" max="1798" width="12.42578125" style="145" bestFit="1" customWidth="1"/>
    <col min="1799" max="2041" width="9.140625" style="145"/>
    <col min="2042" max="2042" width="59.28515625" style="145" customWidth="1"/>
    <col min="2043" max="2043" width="0" style="145" hidden="1" customWidth="1"/>
    <col min="2044" max="2044" width="0.140625" style="145" customWidth="1"/>
    <col min="2045" max="2046" width="0" style="145" hidden="1" customWidth="1"/>
    <col min="2047" max="2047" width="22.42578125" style="145" customWidth="1"/>
    <col min="2048" max="2049" width="25" style="145" customWidth="1"/>
    <col min="2050" max="2050" width="23.140625" style="145" customWidth="1"/>
    <col min="2051" max="2051" width="10" style="145" bestFit="1" customWidth="1"/>
    <col min="2052" max="2054" width="12.42578125" style="145" bestFit="1" customWidth="1"/>
    <col min="2055" max="2297" width="9.140625" style="145"/>
    <col min="2298" max="2298" width="59.28515625" style="145" customWidth="1"/>
    <col min="2299" max="2299" width="0" style="145" hidden="1" customWidth="1"/>
    <col min="2300" max="2300" width="0.140625" style="145" customWidth="1"/>
    <col min="2301" max="2302" width="0" style="145" hidden="1" customWidth="1"/>
    <col min="2303" max="2303" width="22.42578125" style="145" customWidth="1"/>
    <col min="2304" max="2305" width="25" style="145" customWidth="1"/>
    <col min="2306" max="2306" width="23.140625" style="145" customWidth="1"/>
    <col min="2307" max="2307" width="10" style="145" bestFit="1" customWidth="1"/>
    <col min="2308" max="2310" width="12.42578125" style="145" bestFit="1" customWidth="1"/>
    <col min="2311" max="2553" width="9.140625" style="145"/>
    <col min="2554" max="2554" width="59.28515625" style="145" customWidth="1"/>
    <col min="2555" max="2555" width="0" style="145" hidden="1" customWidth="1"/>
    <col min="2556" max="2556" width="0.140625" style="145" customWidth="1"/>
    <col min="2557" max="2558" width="0" style="145" hidden="1" customWidth="1"/>
    <col min="2559" max="2559" width="22.42578125" style="145" customWidth="1"/>
    <col min="2560" max="2561" width="25" style="145" customWidth="1"/>
    <col min="2562" max="2562" width="23.140625" style="145" customWidth="1"/>
    <col min="2563" max="2563" width="10" style="145" bestFit="1" customWidth="1"/>
    <col min="2564" max="2566" width="12.42578125" style="145" bestFit="1" customWidth="1"/>
    <col min="2567" max="2809" width="9.140625" style="145"/>
    <col min="2810" max="2810" width="59.28515625" style="145" customWidth="1"/>
    <col min="2811" max="2811" width="0" style="145" hidden="1" customWidth="1"/>
    <col min="2812" max="2812" width="0.140625" style="145" customWidth="1"/>
    <col min="2813" max="2814" width="0" style="145" hidden="1" customWidth="1"/>
    <col min="2815" max="2815" width="22.42578125" style="145" customWidth="1"/>
    <col min="2816" max="2817" width="25" style="145" customWidth="1"/>
    <col min="2818" max="2818" width="23.140625" style="145" customWidth="1"/>
    <col min="2819" max="2819" width="10" style="145" bestFit="1" customWidth="1"/>
    <col min="2820" max="2822" width="12.42578125" style="145" bestFit="1" customWidth="1"/>
    <col min="2823" max="3065" width="9.140625" style="145"/>
    <col min="3066" max="3066" width="59.28515625" style="145" customWidth="1"/>
    <col min="3067" max="3067" width="0" style="145" hidden="1" customWidth="1"/>
    <col min="3068" max="3068" width="0.140625" style="145" customWidth="1"/>
    <col min="3069" max="3070" width="0" style="145" hidden="1" customWidth="1"/>
    <col min="3071" max="3071" width="22.42578125" style="145" customWidth="1"/>
    <col min="3072" max="3073" width="25" style="145" customWidth="1"/>
    <col min="3074" max="3074" width="23.140625" style="145" customWidth="1"/>
    <col min="3075" max="3075" width="10" style="145" bestFit="1" customWidth="1"/>
    <col min="3076" max="3078" width="12.42578125" style="145" bestFit="1" customWidth="1"/>
    <col min="3079" max="3321" width="9.140625" style="145"/>
    <col min="3322" max="3322" width="59.28515625" style="145" customWidth="1"/>
    <col min="3323" max="3323" width="0" style="145" hidden="1" customWidth="1"/>
    <col min="3324" max="3324" width="0.140625" style="145" customWidth="1"/>
    <col min="3325" max="3326" width="0" style="145" hidden="1" customWidth="1"/>
    <col min="3327" max="3327" width="22.42578125" style="145" customWidth="1"/>
    <col min="3328" max="3329" width="25" style="145" customWidth="1"/>
    <col min="3330" max="3330" width="23.140625" style="145" customWidth="1"/>
    <col min="3331" max="3331" width="10" style="145" bestFit="1" customWidth="1"/>
    <col min="3332" max="3334" width="12.42578125" style="145" bestFit="1" customWidth="1"/>
    <col min="3335" max="3577" width="9.140625" style="145"/>
    <col min="3578" max="3578" width="59.28515625" style="145" customWidth="1"/>
    <col min="3579" max="3579" width="0" style="145" hidden="1" customWidth="1"/>
    <col min="3580" max="3580" width="0.140625" style="145" customWidth="1"/>
    <col min="3581" max="3582" width="0" style="145" hidden="1" customWidth="1"/>
    <col min="3583" max="3583" width="22.42578125" style="145" customWidth="1"/>
    <col min="3584" max="3585" width="25" style="145" customWidth="1"/>
    <col min="3586" max="3586" width="23.140625" style="145" customWidth="1"/>
    <col min="3587" max="3587" width="10" style="145" bestFit="1" customWidth="1"/>
    <col min="3588" max="3590" width="12.42578125" style="145" bestFit="1" customWidth="1"/>
    <col min="3591" max="3833" width="9.140625" style="145"/>
    <col min="3834" max="3834" width="59.28515625" style="145" customWidth="1"/>
    <col min="3835" max="3835" width="0" style="145" hidden="1" customWidth="1"/>
    <col min="3836" max="3836" width="0.140625" style="145" customWidth="1"/>
    <col min="3837" max="3838" width="0" style="145" hidden="1" customWidth="1"/>
    <col min="3839" max="3839" width="22.42578125" style="145" customWidth="1"/>
    <col min="3840" max="3841" width="25" style="145" customWidth="1"/>
    <col min="3842" max="3842" width="23.140625" style="145" customWidth="1"/>
    <col min="3843" max="3843" width="10" style="145" bestFit="1" customWidth="1"/>
    <col min="3844" max="3846" width="12.42578125" style="145" bestFit="1" customWidth="1"/>
    <col min="3847" max="4089" width="9.140625" style="145"/>
    <col min="4090" max="4090" width="59.28515625" style="145" customWidth="1"/>
    <col min="4091" max="4091" width="0" style="145" hidden="1" customWidth="1"/>
    <col min="4092" max="4092" width="0.140625" style="145" customWidth="1"/>
    <col min="4093" max="4094" width="0" style="145" hidden="1" customWidth="1"/>
    <col min="4095" max="4095" width="22.42578125" style="145" customWidth="1"/>
    <col min="4096" max="4097" width="25" style="145" customWidth="1"/>
    <col min="4098" max="4098" width="23.140625" style="145" customWidth="1"/>
    <col min="4099" max="4099" width="10" style="145" bestFit="1" customWidth="1"/>
    <col min="4100" max="4102" width="12.42578125" style="145" bestFit="1" customWidth="1"/>
    <col min="4103" max="4345" width="9.140625" style="145"/>
    <col min="4346" max="4346" width="59.28515625" style="145" customWidth="1"/>
    <col min="4347" max="4347" width="0" style="145" hidden="1" customWidth="1"/>
    <col min="4348" max="4348" width="0.140625" style="145" customWidth="1"/>
    <col min="4349" max="4350" width="0" style="145" hidden="1" customWidth="1"/>
    <col min="4351" max="4351" width="22.42578125" style="145" customWidth="1"/>
    <col min="4352" max="4353" width="25" style="145" customWidth="1"/>
    <col min="4354" max="4354" width="23.140625" style="145" customWidth="1"/>
    <col min="4355" max="4355" width="10" style="145" bestFit="1" customWidth="1"/>
    <col min="4356" max="4358" width="12.42578125" style="145" bestFit="1" customWidth="1"/>
    <col min="4359" max="4601" width="9.140625" style="145"/>
    <col min="4602" max="4602" width="59.28515625" style="145" customWidth="1"/>
    <col min="4603" max="4603" width="0" style="145" hidden="1" customWidth="1"/>
    <col min="4604" max="4604" width="0.140625" style="145" customWidth="1"/>
    <col min="4605" max="4606" width="0" style="145" hidden="1" customWidth="1"/>
    <col min="4607" max="4607" width="22.42578125" style="145" customWidth="1"/>
    <col min="4608" max="4609" width="25" style="145" customWidth="1"/>
    <col min="4610" max="4610" width="23.140625" style="145" customWidth="1"/>
    <col min="4611" max="4611" width="10" style="145" bestFit="1" customWidth="1"/>
    <col min="4612" max="4614" width="12.42578125" style="145" bestFit="1" customWidth="1"/>
    <col min="4615" max="4857" width="9.140625" style="145"/>
    <col min="4858" max="4858" width="59.28515625" style="145" customWidth="1"/>
    <col min="4859" max="4859" width="0" style="145" hidden="1" customWidth="1"/>
    <col min="4860" max="4860" width="0.140625" style="145" customWidth="1"/>
    <col min="4861" max="4862" width="0" style="145" hidden="1" customWidth="1"/>
    <col min="4863" max="4863" width="22.42578125" style="145" customWidth="1"/>
    <col min="4864" max="4865" width="25" style="145" customWidth="1"/>
    <col min="4866" max="4866" width="23.140625" style="145" customWidth="1"/>
    <col min="4867" max="4867" width="10" style="145" bestFit="1" customWidth="1"/>
    <col min="4868" max="4870" width="12.42578125" style="145" bestFit="1" customWidth="1"/>
    <col min="4871" max="5113" width="9.140625" style="145"/>
    <col min="5114" max="5114" width="59.28515625" style="145" customWidth="1"/>
    <col min="5115" max="5115" width="0" style="145" hidden="1" customWidth="1"/>
    <col min="5116" max="5116" width="0.140625" style="145" customWidth="1"/>
    <col min="5117" max="5118" width="0" style="145" hidden="1" customWidth="1"/>
    <col min="5119" max="5119" width="22.42578125" style="145" customWidth="1"/>
    <col min="5120" max="5121" width="25" style="145" customWidth="1"/>
    <col min="5122" max="5122" width="23.140625" style="145" customWidth="1"/>
    <col min="5123" max="5123" width="10" style="145" bestFit="1" customWidth="1"/>
    <col min="5124" max="5126" width="12.42578125" style="145" bestFit="1" customWidth="1"/>
    <col min="5127" max="5369" width="9.140625" style="145"/>
    <col min="5370" max="5370" width="59.28515625" style="145" customWidth="1"/>
    <col min="5371" max="5371" width="0" style="145" hidden="1" customWidth="1"/>
    <col min="5372" max="5372" width="0.140625" style="145" customWidth="1"/>
    <col min="5373" max="5374" width="0" style="145" hidden="1" customWidth="1"/>
    <col min="5375" max="5375" width="22.42578125" style="145" customWidth="1"/>
    <col min="5376" max="5377" width="25" style="145" customWidth="1"/>
    <col min="5378" max="5378" width="23.140625" style="145" customWidth="1"/>
    <col min="5379" max="5379" width="10" style="145" bestFit="1" customWidth="1"/>
    <col min="5380" max="5382" width="12.42578125" style="145" bestFit="1" customWidth="1"/>
    <col min="5383" max="5625" width="9.140625" style="145"/>
    <col min="5626" max="5626" width="59.28515625" style="145" customWidth="1"/>
    <col min="5627" max="5627" width="0" style="145" hidden="1" customWidth="1"/>
    <col min="5628" max="5628" width="0.140625" style="145" customWidth="1"/>
    <col min="5629" max="5630" width="0" style="145" hidden="1" customWidth="1"/>
    <col min="5631" max="5631" width="22.42578125" style="145" customWidth="1"/>
    <col min="5632" max="5633" width="25" style="145" customWidth="1"/>
    <col min="5634" max="5634" width="23.140625" style="145" customWidth="1"/>
    <col min="5635" max="5635" width="10" style="145" bestFit="1" customWidth="1"/>
    <col min="5636" max="5638" width="12.42578125" style="145" bestFit="1" customWidth="1"/>
    <col min="5639" max="5881" width="9.140625" style="145"/>
    <col min="5882" max="5882" width="59.28515625" style="145" customWidth="1"/>
    <col min="5883" max="5883" width="0" style="145" hidden="1" customWidth="1"/>
    <col min="5884" max="5884" width="0.140625" style="145" customWidth="1"/>
    <col min="5885" max="5886" width="0" style="145" hidden="1" customWidth="1"/>
    <col min="5887" max="5887" width="22.42578125" style="145" customWidth="1"/>
    <col min="5888" max="5889" width="25" style="145" customWidth="1"/>
    <col min="5890" max="5890" width="23.140625" style="145" customWidth="1"/>
    <col min="5891" max="5891" width="10" style="145" bestFit="1" customWidth="1"/>
    <col min="5892" max="5894" width="12.42578125" style="145" bestFit="1" customWidth="1"/>
    <col min="5895" max="6137" width="9.140625" style="145"/>
    <col min="6138" max="6138" width="59.28515625" style="145" customWidth="1"/>
    <col min="6139" max="6139" width="0" style="145" hidden="1" customWidth="1"/>
    <col min="6140" max="6140" width="0.140625" style="145" customWidth="1"/>
    <col min="6141" max="6142" width="0" style="145" hidden="1" customWidth="1"/>
    <col min="6143" max="6143" width="22.42578125" style="145" customWidth="1"/>
    <col min="6144" max="6145" width="25" style="145" customWidth="1"/>
    <col min="6146" max="6146" width="23.140625" style="145" customWidth="1"/>
    <col min="6147" max="6147" width="10" style="145" bestFit="1" customWidth="1"/>
    <col min="6148" max="6150" width="12.42578125" style="145" bestFit="1" customWidth="1"/>
    <col min="6151" max="6393" width="9.140625" style="145"/>
    <col min="6394" max="6394" width="59.28515625" style="145" customWidth="1"/>
    <col min="6395" max="6395" width="0" style="145" hidden="1" customWidth="1"/>
    <col min="6396" max="6396" width="0.140625" style="145" customWidth="1"/>
    <col min="6397" max="6398" width="0" style="145" hidden="1" customWidth="1"/>
    <col min="6399" max="6399" width="22.42578125" style="145" customWidth="1"/>
    <col min="6400" max="6401" width="25" style="145" customWidth="1"/>
    <col min="6402" max="6402" width="23.140625" style="145" customWidth="1"/>
    <col min="6403" max="6403" width="10" style="145" bestFit="1" customWidth="1"/>
    <col min="6404" max="6406" width="12.42578125" style="145" bestFit="1" customWidth="1"/>
    <col min="6407" max="6649" width="9.140625" style="145"/>
    <col min="6650" max="6650" width="59.28515625" style="145" customWidth="1"/>
    <col min="6651" max="6651" width="0" style="145" hidden="1" customWidth="1"/>
    <col min="6652" max="6652" width="0.140625" style="145" customWidth="1"/>
    <col min="6653" max="6654" width="0" style="145" hidden="1" customWidth="1"/>
    <col min="6655" max="6655" width="22.42578125" style="145" customWidth="1"/>
    <col min="6656" max="6657" width="25" style="145" customWidth="1"/>
    <col min="6658" max="6658" width="23.140625" style="145" customWidth="1"/>
    <col min="6659" max="6659" width="10" style="145" bestFit="1" customWidth="1"/>
    <col min="6660" max="6662" width="12.42578125" style="145" bestFit="1" customWidth="1"/>
    <col min="6663" max="6905" width="9.140625" style="145"/>
    <col min="6906" max="6906" width="59.28515625" style="145" customWidth="1"/>
    <col min="6907" max="6907" width="0" style="145" hidden="1" customWidth="1"/>
    <col min="6908" max="6908" width="0.140625" style="145" customWidth="1"/>
    <col min="6909" max="6910" width="0" style="145" hidden="1" customWidth="1"/>
    <col min="6911" max="6911" width="22.42578125" style="145" customWidth="1"/>
    <col min="6912" max="6913" width="25" style="145" customWidth="1"/>
    <col min="6914" max="6914" width="23.140625" style="145" customWidth="1"/>
    <col min="6915" max="6915" width="10" style="145" bestFit="1" customWidth="1"/>
    <col min="6916" max="6918" width="12.42578125" style="145" bestFit="1" customWidth="1"/>
    <col min="6919" max="7161" width="9.140625" style="145"/>
    <col min="7162" max="7162" width="59.28515625" style="145" customWidth="1"/>
    <col min="7163" max="7163" width="0" style="145" hidden="1" customWidth="1"/>
    <col min="7164" max="7164" width="0.140625" style="145" customWidth="1"/>
    <col min="7165" max="7166" width="0" style="145" hidden="1" customWidth="1"/>
    <col min="7167" max="7167" width="22.42578125" style="145" customWidth="1"/>
    <col min="7168" max="7169" width="25" style="145" customWidth="1"/>
    <col min="7170" max="7170" width="23.140625" style="145" customWidth="1"/>
    <col min="7171" max="7171" width="10" style="145" bestFit="1" customWidth="1"/>
    <col min="7172" max="7174" width="12.42578125" style="145" bestFit="1" customWidth="1"/>
    <col min="7175" max="7417" width="9.140625" style="145"/>
    <col min="7418" max="7418" width="59.28515625" style="145" customWidth="1"/>
    <col min="7419" max="7419" width="0" style="145" hidden="1" customWidth="1"/>
    <col min="7420" max="7420" width="0.140625" style="145" customWidth="1"/>
    <col min="7421" max="7422" width="0" style="145" hidden="1" customWidth="1"/>
    <col min="7423" max="7423" width="22.42578125" style="145" customWidth="1"/>
    <col min="7424" max="7425" width="25" style="145" customWidth="1"/>
    <col min="7426" max="7426" width="23.140625" style="145" customWidth="1"/>
    <col min="7427" max="7427" width="10" style="145" bestFit="1" customWidth="1"/>
    <col min="7428" max="7430" width="12.42578125" style="145" bestFit="1" customWidth="1"/>
    <col min="7431" max="7673" width="9.140625" style="145"/>
    <col min="7674" max="7674" width="59.28515625" style="145" customWidth="1"/>
    <col min="7675" max="7675" width="0" style="145" hidden="1" customWidth="1"/>
    <col min="7676" max="7676" width="0.140625" style="145" customWidth="1"/>
    <col min="7677" max="7678" width="0" style="145" hidden="1" customWidth="1"/>
    <col min="7679" max="7679" width="22.42578125" style="145" customWidth="1"/>
    <col min="7680" max="7681" width="25" style="145" customWidth="1"/>
    <col min="7682" max="7682" width="23.140625" style="145" customWidth="1"/>
    <col min="7683" max="7683" width="10" style="145" bestFit="1" customWidth="1"/>
    <col min="7684" max="7686" width="12.42578125" style="145" bestFit="1" customWidth="1"/>
    <col min="7687" max="7929" width="9.140625" style="145"/>
    <col min="7930" max="7930" width="59.28515625" style="145" customWidth="1"/>
    <col min="7931" max="7931" width="0" style="145" hidden="1" customWidth="1"/>
    <col min="7932" max="7932" width="0.140625" style="145" customWidth="1"/>
    <col min="7933" max="7934" width="0" style="145" hidden="1" customWidth="1"/>
    <col min="7935" max="7935" width="22.42578125" style="145" customWidth="1"/>
    <col min="7936" max="7937" width="25" style="145" customWidth="1"/>
    <col min="7938" max="7938" width="23.140625" style="145" customWidth="1"/>
    <col min="7939" max="7939" width="10" style="145" bestFit="1" customWidth="1"/>
    <col min="7940" max="7942" width="12.42578125" style="145" bestFit="1" customWidth="1"/>
    <col min="7943" max="8185" width="9.140625" style="145"/>
    <col min="8186" max="8186" width="59.28515625" style="145" customWidth="1"/>
    <col min="8187" max="8187" width="0" style="145" hidden="1" customWidth="1"/>
    <col min="8188" max="8188" width="0.140625" style="145" customWidth="1"/>
    <col min="8189" max="8190" width="0" style="145" hidden="1" customWidth="1"/>
    <col min="8191" max="8191" width="22.42578125" style="145" customWidth="1"/>
    <col min="8192" max="8193" width="25" style="145" customWidth="1"/>
    <col min="8194" max="8194" width="23.140625" style="145" customWidth="1"/>
    <col min="8195" max="8195" width="10" style="145" bestFit="1" customWidth="1"/>
    <col min="8196" max="8198" width="12.42578125" style="145" bestFit="1" customWidth="1"/>
    <col min="8199" max="8441" width="9.140625" style="145"/>
    <col min="8442" max="8442" width="59.28515625" style="145" customWidth="1"/>
    <col min="8443" max="8443" width="0" style="145" hidden="1" customWidth="1"/>
    <col min="8444" max="8444" width="0.140625" style="145" customWidth="1"/>
    <col min="8445" max="8446" width="0" style="145" hidden="1" customWidth="1"/>
    <col min="8447" max="8447" width="22.42578125" style="145" customWidth="1"/>
    <col min="8448" max="8449" width="25" style="145" customWidth="1"/>
    <col min="8450" max="8450" width="23.140625" style="145" customWidth="1"/>
    <col min="8451" max="8451" width="10" style="145" bestFit="1" customWidth="1"/>
    <col min="8452" max="8454" width="12.42578125" style="145" bestFit="1" customWidth="1"/>
    <col min="8455" max="8697" width="9.140625" style="145"/>
    <col min="8698" max="8698" width="59.28515625" style="145" customWidth="1"/>
    <col min="8699" max="8699" width="0" style="145" hidden="1" customWidth="1"/>
    <col min="8700" max="8700" width="0.140625" style="145" customWidth="1"/>
    <col min="8701" max="8702" width="0" style="145" hidden="1" customWidth="1"/>
    <col min="8703" max="8703" width="22.42578125" style="145" customWidth="1"/>
    <col min="8704" max="8705" width="25" style="145" customWidth="1"/>
    <col min="8706" max="8706" width="23.140625" style="145" customWidth="1"/>
    <col min="8707" max="8707" width="10" style="145" bestFit="1" customWidth="1"/>
    <col min="8708" max="8710" width="12.42578125" style="145" bestFit="1" customWidth="1"/>
    <col min="8711" max="8953" width="9.140625" style="145"/>
    <col min="8954" max="8954" width="59.28515625" style="145" customWidth="1"/>
    <col min="8955" max="8955" width="0" style="145" hidden="1" customWidth="1"/>
    <col min="8956" max="8956" width="0.140625" style="145" customWidth="1"/>
    <col min="8957" max="8958" width="0" style="145" hidden="1" customWidth="1"/>
    <col min="8959" max="8959" width="22.42578125" style="145" customWidth="1"/>
    <col min="8960" max="8961" width="25" style="145" customWidth="1"/>
    <col min="8962" max="8962" width="23.140625" style="145" customWidth="1"/>
    <col min="8963" max="8963" width="10" style="145" bestFit="1" customWidth="1"/>
    <col min="8964" max="8966" width="12.42578125" style="145" bestFit="1" customWidth="1"/>
    <col min="8967" max="9209" width="9.140625" style="145"/>
    <col min="9210" max="9210" width="59.28515625" style="145" customWidth="1"/>
    <col min="9211" max="9211" width="0" style="145" hidden="1" customWidth="1"/>
    <col min="9212" max="9212" width="0.140625" style="145" customWidth="1"/>
    <col min="9213" max="9214" width="0" style="145" hidden="1" customWidth="1"/>
    <col min="9215" max="9215" width="22.42578125" style="145" customWidth="1"/>
    <col min="9216" max="9217" width="25" style="145" customWidth="1"/>
    <col min="9218" max="9218" width="23.140625" style="145" customWidth="1"/>
    <col min="9219" max="9219" width="10" style="145" bestFit="1" customWidth="1"/>
    <col min="9220" max="9222" width="12.42578125" style="145" bestFit="1" customWidth="1"/>
    <col min="9223" max="9465" width="9.140625" style="145"/>
    <col min="9466" max="9466" width="59.28515625" style="145" customWidth="1"/>
    <col min="9467" max="9467" width="0" style="145" hidden="1" customWidth="1"/>
    <col min="9468" max="9468" width="0.140625" style="145" customWidth="1"/>
    <col min="9469" max="9470" width="0" style="145" hidden="1" customWidth="1"/>
    <col min="9471" max="9471" width="22.42578125" style="145" customWidth="1"/>
    <col min="9472" max="9473" width="25" style="145" customWidth="1"/>
    <col min="9474" max="9474" width="23.140625" style="145" customWidth="1"/>
    <col min="9475" max="9475" width="10" style="145" bestFit="1" customWidth="1"/>
    <col min="9476" max="9478" width="12.42578125" style="145" bestFit="1" customWidth="1"/>
    <col min="9479" max="9721" width="9.140625" style="145"/>
    <col min="9722" max="9722" width="59.28515625" style="145" customWidth="1"/>
    <col min="9723" max="9723" width="0" style="145" hidden="1" customWidth="1"/>
    <col min="9724" max="9724" width="0.140625" style="145" customWidth="1"/>
    <col min="9725" max="9726" width="0" style="145" hidden="1" customWidth="1"/>
    <col min="9727" max="9727" width="22.42578125" style="145" customWidth="1"/>
    <col min="9728" max="9729" width="25" style="145" customWidth="1"/>
    <col min="9730" max="9730" width="23.140625" style="145" customWidth="1"/>
    <col min="9731" max="9731" width="10" style="145" bestFit="1" customWidth="1"/>
    <col min="9732" max="9734" width="12.42578125" style="145" bestFit="1" customWidth="1"/>
    <col min="9735" max="9977" width="9.140625" style="145"/>
    <col min="9978" max="9978" width="59.28515625" style="145" customWidth="1"/>
    <col min="9979" max="9979" width="0" style="145" hidden="1" customWidth="1"/>
    <col min="9980" max="9980" width="0.140625" style="145" customWidth="1"/>
    <col min="9981" max="9982" width="0" style="145" hidden="1" customWidth="1"/>
    <col min="9983" max="9983" width="22.42578125" style="145" customWidth="1"/>
    <col min="9984" max="9985" width="25" style="145" customWidth="1"/>
    <col min="9986" max="9986" width="23.140625" style="145" customWidth="1"/>
    <col min="9987" max="9987" width="10" style="145" bestFit="1" customWidth="1"/>
    <col min="9988" max="9990" width="12.42578125" style="145" bestFit="1" customWidth="1"/>
    <col min="9991" max="10233" width="9.140625" style="145"/>
    <col min="10234" max="10234" width="59.28515625" style="145" customWidth="1"/>
    <col min="10235" max="10235" width="0" style="145" hidden="1" customWidth="1"/>
    <col min="10236" max="10236" width="0.140625" style="145" customWidth="1"/>
    <col min="10237" max="10238" width="0" style="145" hidden="1" customWidth="1"/>
    <col min="10239" max="10239" width="22.42578125" style="145" customWidth="1"/>
    <col min="10240" max="10241" width="25" style="145" customWidth="1"/>
    <col min="10242" max="10242" width="23.140625" style="145" customWidth="1"/>
    <col min="10243" max="10243" width="10" style="145" bestFit="1" customWidth="1"/>
    <col min="10244" max="10246" width="12.42578125" style="145" bestFit="1" customWidth="1"/>
    <col min="10247" max="10489" width="9.140625" style="145"/>
    <col min="10490" max="10490" width="59.28515625" style="145" customWidth="1"/>
    <col min="10491" max="10491" width="0" style="145" hidden="1" customWidth="1"/>
    <col min="10492" max="10492" width="0.140625" style="145" customWidth="1"/>
    <col min="10493" max="10494" width="0" style="145" hidden="1" customWidth="1"/>
    <col min="10495" max="10495" width="22.42578125" style="145" customWidth="1"/>
    <col min="10496" max="10497" width="25" style="145" customWidth="1"/>
    <col min="10498" max="10498" width="23.140625" style="145" customWidth="1"/>
    <col min="10499" max="10499" width="10" style="145" bestFit="1" customWidth="1"/>
    <col min="10500" max="10502" width="12.42578125" style="145" bestFit="1" customWidth="1"/>
    <col min="10503" max="10745" width="9.140625" style="145"/>
    <col min="10746" max="10746" width="59.28515625" style="145" customWidth="1"/>
    <col min="10747" max="10747" width="0" style="145" hidden="1" customWidth="1"/>
    <col min="10748" max="10748" width="0.140625" style="145" customWidth="1"/>
    <col min="10749" max="10750" width="0" style="145" hidden="1" customWidth="1"/>
    <col min="10751" max="10751" width="22.42578125" style="145" customWidth="1"/>
    <col min="10752" max="10753" width="25" style="145" customWidth="1"/>
    <col min="10754" max="10754" width="23.140625" style="145" customWidth="1"/>
    <col min="10755" max="10755" width="10" style="145" bestFit="1" customWidth="1"/>
    <col min="10756" max="10758" width="12.42578125" style="145" bestFit="1" customWidth="1"/>
    <col min="10759" max="11001" width="9.140625" style="145"/>
    <col min="11002" max="11002" width="59.28515625" style="145" customWidth="1"/>
    <col min="11003" max="11003" width="0" style="145" hidden="1" customWidth="1"/>
    <col min="11004" max="11004" width="0.140625" style="145" customWidth="1"/>
    <col min="11005" max="11006" width="0" style="145" hidden="1" customWidth="1"/>
    <col min="11007" max="11007" width="22.42578125" style="145" customWidth="1"/>
    <col min="11008" max="11009" width="25" style="145" customWidth="1"/>
    <col min="11010" max="11010" width="23.140625" style="145" customWidth="1"/>
    <col min="11011" max="11011" width="10" style="145" bestFit="1" customWidth="1"/>
    <col min="11012" max="11014" width="12.42578125" style="145" bestFit="1" customWidth="1"/>
    <col min="11015" max="11257" width="9.140625" style="145"/>
    <col min="11258" max="11258" width="59.28515625" style="145" customWidth="1"/>
    <col min="11259" max="11259" width="0" style="145" hidden="1" customWidth="1"/>
    <col min="11260" max="11260" width="0.140625" style="145" customWidth="1"/>
    <col min="11261" max="11262" width="0" style="145" hidden="1" customWidth="1"/>
    <col min="11263" max="11263" width="22.42578125" style="145" customWidth="1"/>
    <col min="11264" max="11265" width="25" style="145" customWidth="1"/>
    <col min="11266" max="11266" width="23.140625" style="145" customWidth="1"/>
    <col min="11267" max="11267" width="10" style="145" bestFit="1" customWidth="1"/>
    <col min="11268" max="11270" width="12.42578125" style="145" bestFit="1" customWidth="1"/>
    <col min="11271" max="11513" width="9.140625" style="145"/>
    <col min="11514" max="11514" width="59.28515625" style="145" customWidth="1"/>
    <col min="11515" max="11515" width="0" style="145" hidden="1" customWidth="1"/>
    <col min="11516" max="11516" width="0.140625" style="145" customWidth="1"/>
    <col min="11517" max="11518" width="0" style="145" hidden="1" customWidth="1"/>
    <col min="11519" max="11519" width="22.42578125" style="145" customWidth="1"/>
    <col min="11520" max="11521" width="25" style="145" customWidth="1"/>
    <col min="11522" max="11522" width="23.140625" style="145" customWidth="1"/>
    <col min="11523" max="11523" width="10" style="145" bestFit="1" customWidth="1"/>
    <col min="11524" max="11526" width="12.42578125" style="145" bestFit="1" customWidth="1"/>
    <col min="11527" max="11769" width="9.140625" style="145"/>
    <col min="11770" max="11770" width="59.28515625" style="145" customWidth="1"/>
    <col min="11771" max="11771" width="0" style="145" hidden="1" customWidth="1"/>
    <col min="11772" max="11772" width="0.140625" style="145" customWidth="1"/>
    <col min="11773" max="11774" width="0" style="145" hidden="1" customWidth="1"/>
    <col min="11775" max="11775" width="22.42578125" style="145" customWidth="1"/>
    <col min="11776" max="11777" width="25" style="145" customWidth="1"/>
    <col min="11778" max="11778" width="23.140625" style="145" customWidth="1"/>
    <col min="11779" max="11779" width="10" style="145" bestFit="1" customWidth="1"/>
    <col min="11780" max="11782" width="12.42578125" style="145" bestFit="1" customWidth="1"/>
    <col min="11783" max="12025" width="9.140625" style="145"/>
    <col min="12026" max="12026" width="59.28515625" style="145" customWidth="1"/>
    <col min="12027" max="12027" width="0" style="145" hidden="1" customWidth="1"/>
    <col min="12028" max="12028" width="0.140625" style="145" customWidth="1"/>
    <col min="12029" max="12030" width="0" style="145" hidden="1" customWidth="1"/>
    <col min="12031" max="12031" width="22.42578125" style="145" customWidth="1"/>
    <col min="12032" max="12033" width="25" style="145" customWidth="1"/>
    <col min="12034" max="12034" width="23.140625" style="145" customWidth="1"/>
    <col min="12035" max="12035" width="10" style="145" bestFit="1" customWidth="1"/>
    <col min="12036" max="12038" width="12.42578125" style="145" bestFit="1" customWidth="1"/>
    <col min="12039" max="12281" width="9.140625" style="145"/>
    <col min="12282" max="12282" width="59.28515625" style="145" customWidth="1"/>
    <col min="12283" max="12283" width="0" style="145" hidden="1" customWidth="1"/>
    <col min="12284" max="12284" width="0.140625" style="145" customWidth="1"/>
    <col min="12285" max="12286" width="0" style="145" hidden="1" customWidth="1"/>
    <col min="12287" max="12287" width="22.42578125" style="145" customWidth="1"/>
    <col min="12288" max="12289" width="25" style="145" customWidth="1"/>
    <col min="12290" max="12290" width="23.140625" style="145" customWidth="1"/>
    <col min="12291" max="12291" width="10" style="145" bestFit="1" customWidth="1"/>
    <col min="12292" max="12294" width="12.42578125" style="145" bestFit="1" customWidth="1"/>
    <col min="12295" max="12537" width="9.140625" style="145"/>
    <col min="12538" max="12538" width="59.28515625" style="145" customWidth="1"/>
    <col min="12539" max="12539" width="0" style="145" hidden="1" customWidth="1"/>
    <col min="12540" max="12540" width="0.140625" style="145" customWidth="1"/>
    <col min="12541" max="12542" width="0" style="145" hidden="1" customWidth="1"/>
    <col min="12543" max="12543" width="22.42578125" style="145" customWidth="1"/>
    <col min="12544" max="12545" width="25" style="145" customWidth="1"/>
    <col min="12546" max="12546" width="23.140625" style="145" customWidth="1"/>
    <col min="12547" max="12547" width="10" style="145" bestFit="1" customWidth="1"/>
    <col min="12548" max="12550" width="12.42578125" style="145" bestFit="1" customWidth="1"/>
    <col min="12551" max="12793" width="9.140625" style="145"/>
    <col min="12794" max="12794" width="59.28515625" style="145" customWidth="1"/>
    <col min="12795" max="12795" width="0" style="145" hidden="1" customWidth="1"/>
    <col min="12796" max="12796" width="0.140625" style="145" customWidth="1"/>
    <col min="12797" max="12798" width="0" style="145" hidden="1" customWidth="1"/>
    <col min="12799" max="12799" width="22.42578125" style="145" customWidth="1"/>
    <col min="12800" max="12801" width="25" style="145" customWidth="1"/>
    <col min="12802" max="12802" width="23.140625" style="145" customWidth="1"/>
    <col min="12803" max="12803" width="10" style="145" bestFit="1" customWidth="1"/>
    <col min="12804" max="12806" width="12.42578125" style="145" bestFit="1" customWidth="1"/>
    <col min="12807" max="13049" width="9.140625" style="145"/>
    <col min="13050" max="13050" width="59.28515625" style="145" customWidth="1"/>
    <col min="13051" max="13051" width="0" style="145" hidden="1" customWidth="1"/>
    <col min="13052" max="13052" width="0.140625" style="145" customWidth="1"/>
    <col min="13053" max="13054" width="0" style="145" hidden="1" customWidth="1"/>
    <col min="13055" max="13055" width="22.42578125" style="145" customWidth="1"/>
    <col min="13056" max="13057" width="25" style="145" customWidth="1"/>
    <col min="13058" max="13058" width="23.140625" style="145" customWidth="1"/>
    <col min="13059" max="13059" width="10" style="145" bestFit="1" customWidth="1"/>
    <col min="13060" max="13062" width="12.42578125" style="145" bestFit="1" customWidth="1"/>
    <col min="13063" max="13305" width="9.140625" style="145"/>
    <col min="13306" max="13306" width="59.28515625" style="145" customWidth="1"/>
    <col min="13307" max="13307" width="0" style="145" hidden="1" customWidth="1"/>
    <col min="13308" max="13308" width="0.140625" style="145" customWidth="1"/>
    <col min="13309" max="13310" width="0" style="145" hidden="1" customWidth="1"/>
    <col min="13311" max="13311" width="22.42578125" style="145" customWidth="1"/>
    <col min="13312" max="13313" width="25" style="145" customWidth="1"/>
    <col min="13314" max="13314" width="23.140625" style="145" customWidth="1"/>
    <col min="13315" max="13315" width="10" style="145" bestFit="1" customWidth="1"/>
    <col min="13316" max="13318" width="12.42578125" style="145" bestFit="1" customWidth="1"/>
    <col min="13319" max="13561" width="9.140625" style="145"/>
    <col min="13562" max="13562" width="59.28515625" style="145" customWidth="1"/>
    <col min="13563" max="13563" width="0" style="145" hidden="1" customWidth="1"/>
    <col min="13564" max="13564" width="0.140625" style="145" customWidth="1"/>
    <col min="13565" max="13566" width="0" style="145" hidden="1" customWidth="1"/>
    <col min="13567" max="13567" width="22.42578125" style="145" customWidth="1"/>
    <col min="13568" max="13569" width="25" style="145" customWidth="1"/>
    <col min="13570" max="13570" width="23.140625" style="145" customWidth="1"/>
    <col min="13571" max="13571" width="10" style="145" bestFit="1" customWidth="1"/>
    <col min="13572" max="13574" width="12.42578125" style="145" bestFit="1" customWidth="1"/>
    <col min="13575" max="13817" width="9.140625" style="145"/>
    <col min="13818" max="13818" width="59.28515625" style="145" customWidth="1"/>
    <col min="13819" max="13819" width="0" style="145" hidden="1" customWidth="1"/>
    <col min="13820" max="13820" width="0.140625" style="145" customWidth="1"/>
    <col min="13821" max="13822" width="0" style="145" hidden="1" customWidth="1"/>
    <col min="13823" max="13823" width="22.42578125" style="145" customWidth="1"/>
    <col min="13824" max="13825" width="25" style="145" customWidth="1"/>
    <col min="13826" max="13826" width="23.140625" style="145" customWidth="1"/>
    <col min="13827" max="13827" width="10" style="145" bestFit="1" customWidth="1"/>
    <col min="13828" max="13830" width="12.42578125" style="145" bestFit="1" customWidth="1"/>
    <col min="13831" max="14073" width="9.140625" style="145"/>
    <col min="14074" max="14074" width="59.28515625" style="145" customWidth="1"/>
    <col min="14075" max="14075" width="0" style="145" hidden="1" customWidth="1"/>
    <col min="14076" max="14076" width="0.140625" style="145" customWidth="1"/>
    <col min="14077" max="14078" width="0" style="145" hidden="1" customWidth="1"/>
    <col min="14079" max="14079" width="22.42578125" style="145" customWidth="1"/>
    <col min="14080" max="14081" width="25" style="145" customWidth="1"/>
    <col min="14082" max="14082" width="23.140625" style="145" customWidth="1"/>
    <col min="14083" max="14083" width="10" style="145" bestFit="1" customWidth="1"/>
    <col min="14084" max="14086" width="12.42578125" style="145" bestFit="1" customWidth="1"/>
    <col min="14087" max="14329" width="9.140625" style="145"/>
    <col min="14330" max="14330" width="59.28515625" style="145" customWidth="1"/>
    <col min="14331" max="14331" width="0" style="145" hidden="1" customWidth="1"/>
    <col min="14332" max="14332" width="0.140625" style="145" customWidth="1"/>
    <col min="14333" max="14334" width="0" style="145" hidden="1" customWidth="1"/>
    <col min="14335" max="14335" width="22.42578125" style="145" customWidth="1"/>
    <col min="14336" max="14337" width="25" style="145" customWidth="1"/>
    <col min="14338" max="14338" width="23.140625" style="145" customWidth="1"/>
    <col min="14339" max="14339" width="10" style="145" bestFit="1" customWidth="1"/>
    <col min="14340" max="14342" width="12.42578125" style="145" bestFit="1" customWidth="1"/>
    <col min="14343" max="14585" width="9.140625" style="145"/>
    <col min="14586" max="14586" width="59.28515625" style="145" customWidth="1"/>
    <col min="14587" max="14587" width="0" style="145" hidden="1" customWidth="1"/>
    <col min="14588" max="14588" width="0.140625" style="145" customWidth="1"/>
    <col min="14589" max="14590" width="0" style="145" hidden="1" customWidth="1"/>
    <col min="14591" max="14591" width="22.42578125" style="145" customWidth="1"/>
    <col min="14592" max="14593" width="25" style="145" customWidth="1"/>
    <col min="14594" max="14594" width="23.140625" style="145" customWidth="1"/>
    <col min="14595" max="14595" width="10" style="145" bestFit="1" customWidth="1"/>
    <col min="14596" max="14598" width="12.42578125" style="145" bestFit="1" customWidth="1"/>
    <col min="14599" max="14841" width="9.140625" style="145"/>
    <col min="14842" max="14842" width="59.28515625" style="145" customWidth="1"/>
    <col min="14843" max="14843" width="0" style="145" hidden="1" customWidth="1"/>
    <col min="14844" max="14844" width="0.140625" style="145" customWidth="1"/>
    <col min="14845" max="14846" width="0" style="145" hidden="1" customWidth="1"/>
    <col min="14847" max="14847" width="22.42578125" style="145" customWidth="1"/>
    <col min="14848" max="14849" width="25" style="145" customWidth="1"/>
    <col min="14850" max="14850" width="23.140625" style="145" customWidth="1"/>
    <col min="14851" max="14851" width="10" style="145" bestFit="1" customWidth="1"/>
    <col min="14852" max="14854" width="12.42578125" style="145" bestFit="1" customWidth="1"/>
    <col min="14855" max="15097" width="9.140625" style="145"/>
    <col min="15098" max="15098" width="59.28515625" style="145" customWidth="1"/>
    <col min="15099" max="15099" width="0" style="145" hidden="1" customWidth="1"/>
    <col min="15100" max="15100" width="0.140625" style="145" customWidth="1"/>
    <col min="15101" max="15102" width="0" style="145" hidden="1" customWidth="1"/>
    <col min="15103" max="15103" width="22.42578125" style="145" customWidth="1"/>
    <col min="15104" max="15105" width="25" style="145" customWidth="1"/>
    <col min="15106" max="15106" width="23.140625" style="145" customWidth="1"/>
    <col min="15107" max="15107" width="10" style="145" bestFit="1" customWidth="1"/>
    <col min="15108" max="15110" width="12.42578125" style="145" bestFit="1" customWidth="1"/>
    <col min="15111" max="15353" width="9.140625" style="145"/>
    <col min="15354" max="15354" width="59.28515625" style="145" customWidth="1"/>
    <col min="15355" max="15355" width="0" style="145" hidden="1" customWidth="1"/>
    <col min="15356" max="15356" width="0.140625" style="145" customWidth="1"/>
    <col min="15357" max="15358" width="0" style="145" hidden="1" customWidth="1"/>
    <col min="15359" max="15359" width="22.42578125" style="145" customWidth="1"/>
    <col min="15360" max="15361" width="25" style="145" customWidth="1"/>
    <col min="15362" max="15362" width="23.140625" style="145" customWidth="1"/>
    <col min="15363" max="15363" width="10" style="145" bestFit="1" customWidth="1"/>
    <col min="15364" max="15366" width="12.42578125" style="145" bestFit="1" customWidth="1"/>
    <col min="15367" max="15609" width="9.140625" style="145"/>
    <col min="15610" max="15610" width="59.28515625" style="145" customWidth="1"/>
    <col min="15611" max="15611" width="0" style="145" hidden="1" customWidth="1"/>
    <col min="15612" max="15612" width="0.140625" style="145" customWidth="1"/>
    <col min="15613" max="15614" width="0" style="145" hidden="1" customWidth="1"/>
    <col min="15615" max="15615" width="22.42578125" style="145" customWidth="1"/>
    <col min="15616" max="15617" width="25" style="145" customWidth="1"/>
    <col min="15618" max="15618" width="23.140625" style="145" customWidth="1"/>
    <col min="15619" max="15619" width="10" style="145" bestFit="1" customWidth="1"/>
    <col min="15620" max="15622" width="12.42578125" style="145" bestFit="1" customWidth="1"/>
    <col min="15623" max="15865" width="9.140625" style="145"/>
    <col min="15866" max="15866" width="59.28515625" style="145" customWidth="1"/>
    <col min="15867" max="15867" width="0" style="145" hidden="1" customWidth="1"/>
    <col min="15868" max="15868" width="0.140625" style="145" customWidth="1"/>
    <col min="15869" max="15870" width="0" style="145" hidden="1" customWidth="1"/>
    <col min="15871" max="15871" width="22.42578125" style="145" customWidth="1"/>
    <col min="15872" max="15873" width="25" style="145" customWidth="1"/>
    <col min="15874" max="15874" width="23.140625" style="145" customWidth="1"/>
    <col min="15875" max="15875" width="10" style="145" bestFit="1" customWidth="1"/>
    <col min="15876" max="15878" width="12.42578125" style="145" bestFit="1" customWidth="1"/>
    <col min="15879" max="16121" width="9.140625" style="145"/>
    <col min="16122" max="16122" width="59.28515625" style="145" customWidth="1"/>
    <col min="16123" max="16123" width="0" style="145" hidden="1" customWidth="1"/>
    <col min="16124" max="16124" width="0.140625" style="145" customWidth="1"/>
    <col min="16125" max="16126" width="0" style="145" hidden="1" customWidth="1"/>
    <col min="16127" max="16127" width="22.42578125" style="145" customWidth="1"/>
    <col min="16128" max="16129" width="25" style="145" customWidth="1"/>
    <col min="16130" max="16130" width="23.140625" style="145" customWidth="1"/>
    <col min="16131" max="16131" width="10" style="145" bestFit="1" customWidth="1"/>
    <col min="16132" max="16134" width="12.42578125" style="145" bestFit="1" customWidth="1"/>
    <col min="16135" max="16375" width="9.140625" style="145"/>
    <col min="16376" max="16384" width="9.140625" style="145" customWidth="1"/>
  </cols>
  <sheetData>
    <row r="1" spans="1:8" ht="21.6" customHeight="1" thickBot="1" x14ac:dyDescent="0.4">
      <c r="B1" s="202" t="s">
        <v>128</v>
      </c>
      <c r="C1" s="202"/>
      <c r="D1" s="202"/>
      <c r="E1" s="202"/>
      <c r="F1" s="197"/>
      <c r="G1" s="146"/>
      <c r="H1" s="146"/>
    </row>
    <row r="2" spans="1:8" ht="21.6" customHeight="1" thickBot="1" x14ac:dyDescent="0.4">
      <c r="A2" s="147"/>
      <c r="B2" s="203" t="s">
        <v>127</v>
      </c>
      <c r="C2" s="204"/>
      <c r="D2" s="204"/>
      <c r="E2" s="204"/>
      <c r="F2" s="198"/>
      <c r="G2" s="148"/>
      <c r="H2" s="148"/>
    </row>
    <row r="3" spans="1:8" ht="21.6" customHeight="1" thickBot="1" x14ac:dyDescent="0.4">
      <c r="B3" s="205" t="s">
        <v>283</v>
      </c>
      <c r="C3" s="206"/>
      <c r="D3" s="206"/>
      <c r="E3" s="207"/>
    </row>
    <row r="4" spans="1:8" ht="54" x14ac:dyDescent="0.35">
      <c r="A4" s="147"/>
      <c r="B4" s="157" t="s">
        <v>7</v>
      </c>
      <c r="C4" s="169" t="s">
        <v>281</v>
      </c>
      <c r="D4" s="170" t="s">
        <v>282</v>
      </c>
    </row>
    <row r="5" spans="1:8" ht="18" x14ac:dyDescent="0.35">
      <c r="A5" s="147"/>
      <c r="B5" s="171" t="s">
        <v>8</v>
      </c>
      <c r="C5" s="149"/>
      <c r="D5" s="149" t="s">
        <v>115</v>
      </c>
    </row>
    <row r="6" spans="1:8" ht="18" x14ac:dyDescent="0.35">
      <c r="A6" s="147"/>
      <c r="B6" s="147" t="s">
        <v>9</v>
      </c>
      <c r="C6" s="172">
        <v>1354275.8547881665</v>
      </c>
      <c r="D6" s="173">
        <f>C6</f>
        <v>1354275.8547881665</v>
      </c>
      <c r="E6" s="151"/>
    </row>
    <row r="7" spans="1:8" ht="18" x14ac:dyDescent="0.35">
      <c r="A7" s="147"/>
      <c r="B7" s="147" t="s">
        <v>10</v>
      </c>
      <c r="C7" s="173"/>
      <c r="D7" s="173">
        <v>0</v>
      </c>
      <c r="E7" s="151"/>
    </row>
    <row r="8" spans="1:8" ht="18" x14ac:dyDescent="0.35">
      <c r="A8" s="147"/>
      <c r="B8" s="147" t="s">
        <v>11</v>
      </c>
      <c r="C8" s="173">
        <v>0</v>
      </c>
      <c r="D8" s="173">
        <v>0</v>
      </c>
      <c r="E8" s="151"/>
    </row>
    <row r="9" spans="1:8" ht="18" x14ac:dyDescent="0.35">
      <c r="A9" s="147"/>
      <c r="B9" s="147" t="s">
        <v>13</v>
      </c>
      <c r="C9" s="173"/>
      <c r="D9" s="173">
        <v>0</v>
      </c>
      <c r="E9" s="151"/>
    </row>
    <row r="10" spans="1:8" ht="18" x14ac:dyDescent="0.35">
      <c r="A10" s="147"/>
      <c r="B10" s="147" t="s">
        <v>14</v>
      </c>
      <c r="C10" s="173"/>
      <c r="D10" s="173">
        <v>0</v>
      </c>
      <c r="E10" s="151"/>
    </row>
    <row r="11" spans="1:8" ht="18" x14ac:dyDescent="0.35">
      <c r="A11" s="147"/>
      <c r="B11" s="171" t="s">
        <v>1</v>
      </c>
      <c r="C11" s="174">
        <f>SUM(C6:C10)</f>
        <v>1354275.8547881665</v>
      </c>
      <c r="D11" s="174"/>
      <c r="E11" s="151"/>
    </row>
    <row r="12" spans="1:8" ht="18" x14ac:dyDescent="0.35">
      <c r="A12" s="147"/>
      <c r="B12" s="147" t="s">
        <v>12</v>
      </c>
      <c r="C12" s="173"/>
      <c r="D12" s="173"/>
      <c r="E12" s="151"/>
    </row>
    <row r="13" spans="1:8" ht="18" x14ac:dyDescent="0.35">
      <c r="A13" s="147"/>
      <c r="B13" s="147" t="s">
        <v>10</v>
      </c>
      <c r="C13" s="173">
        <f>0</f>
        <v>0</v>
      </c>
      <c r="D13" s="173">
        <v>0</v>
      </c>
      <c r="E13" s="151"/>
    </row>
    <row r="14" spans="1:8" ht="18" x14ac:dyDescent="0.35">
      <c r="A14" s="147"/>
      <c r="B14" s="147" t="s">
        <v>11</v>
      </c>
      <c r="C14" s="172">
        <v>425908.54</v>
      </c>
      <c r="D14" s="173">
        <f>3761896.99+C14</f>
        <v>4187805.5300000003</v>
      </c>
      <c r="E14" s="151"/>
    </row>
    <row r="15" spans="1:8" ht="18" x14ac:dyDescent="0.35">
      <c r="A15" s="147"/>
      <c r="B15" s="147" t="str">
        <f>'[1]JANUARY-JUNE 2020'!B9</f>
        <v>Interest Income</v>
      </c>
      <c r="C15" s="172">
        <v>0</v>
      </c>
      <c r="D15" s="173">
        <f>31642.51+C15</f>
        <v>31642.51</v>
      </c>
      <c r="E15" s="151"/>
    </row>
    <row r="16" spans="1:8" ht="18" x14ac:dyDescent="0.35">
      <c r="A16" s="147"/>
      <c r="B16" s="147" t="s">
        <v>279</v>
      </c>
      <c r="C16" s="172">
        <v>5200</v>
      </c>
      <c r="D16" s="173"/>
      <c r="E16" s="151"/>
    </row>
    <row r="17" spans="1:6" ht="18" x14ac:dyDescent="0.35">
      <c r="A17" s="147"/>
      <c r="B17" s="147" t="str">
        <f>'[1]JANUARY-JUNE 2020'!B11</f>
        <v>Car Hire Income</v>
      </c>
      <c r="C17" s="152">
        <f>419.61+834.82</f>
        <v>1254.43</v>
      </c>
      <c r="D17" s="173">
        <f>10894.1457771146+C17</f>
        <v>12148.5757771146</v>
      </c>
      <c r="E17" s="151"/>
    </row>
    <row r="18" spans="1:6" ht="18" x14ac:dyDescent="0.35">
      <c r="A18" s="147"/>
      <c r="B18" s="147" t="str">
        <f>'[1]JANUARY-JUNE 2020'!B12</f>
        <v>Refunds from Retirements-ACE II</v>
      </c>
      <c r="C18" s="152">
        <f>2416.4+985.18+2739.12+2672.08+822+25657.46</f>
        <v>35292.239999999998</v>
      </c>
      <c r="D18" s="173">
        <f>8370.11+C18</f>
        <v>43662.35</v>
      </c>
      <c r="E18" s="151"/>
    </row>
    <row r="19" spans="1:6" ht="18" x14ac:dyDescent="0.35">
      <c r="A19" s="147"/>
      <c r="B19" s="147" t="s">
        <v>233</v>
      </c>
      <c r="C19" s="172">
        <v>0</v>
      </c>
      <c r="D19" s="173">
        <f>861.85+C19</f>
        <v>861.85</v>
      </c>
      <c r="E19" s="151"/>
    </row>
    <row r="20" spans="1:6" ht="18" x14ac:dyDescent="0.35">
      <c r="A20" s="147"/>
      <c r="B20" s="147" t="s">
        <v>231</v>
      </c>
      <c r="C20" s="172">
        <f>9000/2506.03</f>
        <v>3.5913376934833181</v>
      </c>
      <c r="D20" s="173">
        <f>5996.78448275862+C20</f>
        <v>6000.3758204521027</v>
      </c>
      <c r="E20" s="150"/>
    </row>
    <row r="21" spans="1:6" ht="18" x14ac:dyDescent="0.35">
      <c r="A21" s="147"/>
      <c r="B21" s="147" t="s">
        <v>263</v>
      </c>
      <c r="C21" s="173">
        <f>C51</f>
        <v>304138.95701156813</v>
      </c>
      <c r="D21" s="173">
        <f>1182472.93237553+C21</f>
        <v>1486611.8893870981</v>
      </c>
      <c r="E21" s="151"/>
    </row>
    <row r="22" spans="1:6" ht="18" x14ac:dyDescent="0.35">
      <c r="A22" s="147"/>
      <c r="B22" s="171" t="s">
        <v>15</v>
      </c>
      <c r="C22" s="175">
        <f>SUM(C11:C21)</f>
        <v>2126073.6131374277</v>
      </c>
      <c r="D22" s="175">
        <f>SUM(D11:D21)</f>
        <v>5768733.0809846641</v>
      </c>
    </row>
    <row r="23" spans="1:6" ht="18" x14ac:dyDescent="0.35">
      <c r="A23" s="147"/>
      <c r="B23" s="147" t="s">
        <v>16</v>
      </c>
      <c r="C23" s="176"/>
      <c r="D23" s="176"/>
    </row>
    <row r="24" spans="1:6" ht="18" x14ac:dyDescent="0.35">
      <c r="A24" s="147"/>
      <c r="B24" s="157" t="s">
        <v>2</v>
      </c>
      <c r="C24" s="176"/>
      <c r="D24" s="173"/>
    </row>
    <row r="25" spans="1:6" s="154" customFormat="1" ht="18" x14ac:dyDescent="0.35">
      <c r="A25" s="157"/>
      <c r="B25" s="177" t="s">
        <v>157</v>
      </c>
      <c r="C25" s="178">
        <f>UFB!C10</f>
        <v>7325.06</v>
      </c>
      <c r="D25" s="144">
        <f>UFB!F10</f>
        <v>57834.57</v>
      </c>
      <c r="E25" s="153"/>
      <c r="F25" s="156"/>
    </row>
    <row r="26" spans="1:6" s="154" customFormat="1" ht="18" x14ac:dyDescent="0.35">
      <c r="A26" s="157"/>
      <c r="B26" s="147" t="s">
        <v>158</v>
      </c>
      <c r="C26" s="178">
        <f>UFB!C15</f>
        <v>0</v>
      </c>
      <c r="D26" s="144">
        <f>UFB!F15</f>
        <v>2787.02</v>
      </c>
      <c r="E26" s="153"/>
      <c r="F26" s="156"/>
    </row>
    <row r="27" spans="1:6" s="154" customFormat="1" ht="18" x14ac:dyDescent="0.35">
      <c r="A27" s="157"/>
      <c r="B27" s="147" t="s">
        <v>159</v>
      </c>
      <c r="C27" s="178">
        <f>UFB!C18</f>
        <v>726</v>
      </c>
      <c r="D27" s="144">
        <f>UFB!F18</f>
        <v>4692.8500000000004</v>
      </c>
      <c r="E27" s="153"/>
      <c r="F27" s="156"/>
    </row>
    <row r="28" spans="1:6" s="154" customFormat="1" ht="18" x14ac:dyDescent="0.35">
      <c r="A28" s="157"/>
      <c r="B28" s="177" t="s">
        <v>160</v>
      </c>
      <c r="C28" s="179">
        <f>UFB!C21</f>
        <v>5087.7299999999996</v>
      </c>
      <c r="D28" s="144">
        <f>UFB!F21</f>
        <v>5087.7299999999996</v>
      </c>
      <c r="E28" s="153"/>
      <c r="F28" s="156"/>
    </row>
    <row r="29" spans="1:6" s="154" customFormat="1" ht="18" x14ac:dyDescent="0.35">
      <c r="A29" s="157"/>
      <c r="B29" s="147" t="s">
        <v>161</v>
      </c>
      <c r="C29" s="172">
        <f>UFB!C25</f>
        <v>7926.64</v>
      </c>
      <c r="D29" s="144">
        <f>UFB!F25</f>
        <v>12201.220000000001</v>
      </c>
      <c r="E29" s="153"/>
      <c r="F29" s="156"/>
    </row>
    <row r="30" spans="1:6" s="154" customFormat="1" ht="18" x14ac:dyDescent="0.35">
      <c r="A30" s="157"/>
      <c r="B30" s="147" t="s">
        <v>162</v>
      </c>
      <c r="C30" s="178">
        <f>UFB!C28</f>
        <v>7853.14</v>
      </c>
      <c r="D30" s="144">
        <f>UFB!F28</f>
        <v>17112.78</v>
      </c>
      <c r="E30" s="153"/>
      <c r="F30" s="156"/>
    </row>
    <row r="31" spans="1:6" s="154" customFormat="1" ht="18" x14ac:dyDescent="0.35">
      <c r="A31" s="157"/>
      <c r="B31" s="147" t="s">
        <v>163</v>
      </c>
      <c r="C31" s="178">
        <f>UFB!C31</f>
        <v>6512.29</v>
      </c>
      <c r="D31" s="144">
        <f>UFB!F31</f>
        <v>67679.396454820599</v>
      </c>
      <c r="E31" s="153"/>
      <c r="F31" s="156"/>
    </row>
    <row r="32" spans="1:6" s="154" customFormat="1" ht="18" x14ac:dyDescent="0.35">
      <c r="A32" s="157"/>
      <c r="B32" s="180" t="s">
        <v>164</v>
      </c>
      <c r="C32" s="178">
        <f>UFB!C34</f>
        <v>558.65</v>
      </c>
      <c r="D32" s="144">
        <f>UFB!F34</f>
        <v>9115.91</v>
      </c>
      <c r="E32" s="153"/>
      <c r="F32" s="156"/>
    </row>
    <row r="33" spans="1:12" s="154" customFormat="1" ht="18" x14ac:dyDescent="0.35">
      <c r="A33" s="157"/>
      <c r="B33" s="106" t="s">
        <v>165</v>
      </c>
      <c r="C33" s="178">
        <f>UFB!C54</f>
        <v>88107.786370634014</v>
      </c>
      <c r="D33" s="144">
        <f>UFB!F54</f>
        <v>1011547.1863706339</v>
      </c>
      <c r="E33" s="153"/>
      <c r="F33" s="156"/>
    </row>
    <row r="34" spans="1:12" s="155" customFormat="1" ht="18" x14ac:dyDescent="0.35">
      <c r="A34" s="181"/>
      <c r="B34" s="106" t="s">
        <v>166</v>
      </c>
      <c r="C34" s="182">
        <f>UFB!C74</f>
        <v>50930.82</v>
      </c>
      <c r="D34" s="144">
        <f>UFB!F74</f>
        <v>184811.96456896549</v>
      </c>
      <c r="E34" s="153"/>
      <c r="F34" s="156"/>
      <c r="G34" s="154"/>
      <c r="H34" s="154"/>
      <c r="I34" s="154"/>
      <c r="J34" s="154"/>
      <c r="K34" s="154"/>
      <c r="L34" s="154"/>
    </row>
    <row r="35" spans="1:12" s="154" customFormat="1" ht="18" x14ac:dyDescent="0.35">
      <c r="A35" s="183"/>
      <c r="B35" s="106" t="s">
        <v>167</v>
      </c>
      <c r="C35" s="178">
        <f>UFB!C78</f>
        <v>16653.23</v>
      </c>
      <c r="D35" s="144">
        <f>UFB!F78</f>
        <v>59405.99</v>
      </c>
      <c r="E35" s="153"/>
      <c r="F35" s="156"/>
    </row>
    <row r="36" spans="1:12" ht="18" x14ac:dyDescent="0.35">
      <c r="A36" s="147"/>
      <c r="B36" s="171" t="s">
        <v>173</v>
      </c>
      <c r="C36" s="175">
        <f>SUM(C25:C35)</f>
        <v>191681.34637063404</v>
      </c>
      <c r="D36" s="174">
        <f>SUM(D25:D35)</f>
        <v>1432276.6173944201</v>
      </c>
      <c r="E36" s="151"/>
    </row>
    <row r="37" spans="1:12" ht="18" x14ac:dyDescent="0.35">
      <c r="A37" s="147"/>
      <c r="B37" s="181" t="s">
        <v>175</v>
      </c>
      <c r="C37" s="173">
        <f>C66</f>
        <v>388992.86653994559</v>
      </c>
      <c r="D37" s="173">
        <f>394506.85908545+C37</f>
        <v>783499.72562539554</v>
      </c>
      <c r="E37" s="151"/>
      <c r="F37" s="156"/>
    </row>
    <row r="38" spans="1:12" ht="18" x14ac:dyDescent="0.35">
      <c r="A38" s="147"/>
      <c r="B38" s="171" t="s">
        <v>174</v>
      </c>
      <c r="C38" s="175">
        <f>SUM(C36:C37)</f>
        <v>580674.21291057963</v>
      </c>
      <c r="D38" s="174">
        <f>SUM(D36:D37)</f>
        <v>2215776.3430198156</v>
      </c>
      <c r="E38" s="151"/>
    </row>
    <row r="39" spans="1:12" ht="18" x14ac:dyDescent="0.35">
      <c r="A39" s="147"/>
      <c r="B39" s="171" t="s">
        <v>179</v>
      </c>
      <c r="C39" s="175">
        <f>C22-C38</f>
        <v>1545399.4002268482</v>
      </c>
      <c r="D39" s="174">
        <f>D22-D38</f>
        <v>3552956.7379648485</v>
      </c>
      <c r="E39" s="156"/>
    </row>
    <row r="40" spans="1:12" ht="18" x14ac:dyDescent="0.35">
      <c r="A40" s="147"/>
      <c r="B40" s="147"/>
      <c r="C40" s="184"/>
      <c r="D40" s="147"/>
      <c r="E40" s="156"/>
    </row>
    <row r="41" spans="1:12" ht="18" x14ac:dyDescent="0.35">
      <c r="A41" s="184"/>
      <c r="B41" s="147"/>
      <c r="C41" s="185"/>
      <c r="D41" s="185"/>
      <c r="E41" s="151"/>
    </row>
    <row r="42" spans="1:12" ht="18" x14ac:dyDescent="0.35">
      <c r="A42" s="147"/>
      <c r="B42" s="171" t="s">
        <v>177</v>
      </c>
      <c r="C42" s="149" t="s">
        <v>171</v>
      </c>
      <c r="D42" s="149"/>
      <c r="E42" s="151"/>
    </row>
    <row r="43" spans="1:12" ht="18" x14ac:dyDescent="0.35">
      <c r="A43" s="147"/>
      <c r="B43" s="173" t="s">
        <v>235</v>
      </c>
      <c r="C43" s="152">
        <v>0</v>
      </c>
      <c r="D43" s="159"/>
    </row>
    <row r="44" spans="1:12" ht="18" x14ac:dyDescent="0.35">
      <c r="A44" s="147"/>
      <c r="B44" s="173" t="s">
        <v>280</v>
      </c>
      <c r="C44" s="179">
        <f>35733399.1/2506.03</f>
        <v>14258.967011568096</v>
      </c>
      <c r="D44" s="159"/>
    </row>
    <row r="45" spans="1:12" ht="18" x14ac:dyDescent="0.35">
      <c r="A45" s="147"/>
      <c r="B45" s="173" t="s">
        <v>232</v>
      </c>
      <c r="C45" s="152"/>
      <c r="D45" s="158"/>
    </row>
    <row r="46" spans="1:12" ht="18" x14ac:dyDescent="0.35">
      <c r="A46" s="147"/>
      <c r="B46" s="173" t="s">
        <v>236</v>
      </c>
      <c r="C46" s="152">
        <v>0</v>
      </c>
      <c r="D46" s="158"/>
    </row>
    <row r="47" spans="1:12" ht="18" x14ac:dyDescent="0.35">
      <c r="A47" s="147"/>
      <c r="B47" s="173" t="s">
        <v>230</v>
      </c>
      <c r="C47" s="152">
        <v>191745.92000000001</v>
      </c>
      <c r="D47" s="158"/>
    </row>
    <row r="48" spans="1:12" ht="18" x14ac:dyDescent="0.35">
      <c r="A48" s="147"/>
      <c r="B48" s="173" t="s">
        <v>229</v>
      </c>
      <c r="C48" s="152">
        <v>73200</v>
      </c>
      <c r="D48" s="158"/>
    </row>
    <row r="49" spans="1:6" ht="18" x14ac:dyDescent="0.35">
      <c r="A49" s="147"/>
      <c r="B49" s="173" t="s">
        <v>228</v>
      </c>
      <c r="C49" s="152">
        <v>0</v>
      </c>
      <c r="D49" s="158"/>
    </row>
    <row r="50" spans="1:6" ht="18" x14ac:dyDescent="0.35">
      <c r="A50" s="147"/>
      <c r="B50" s="173" t="s">
        <v>239</v>
      </c>
      <c r="C50" s="152">
        <f>2000+1190+5026.9+8086.97+1596.16+2235.61+4788.45+9.98</f>
        <v>24934.07</v>
      </c>
      <c r="D50" s="158"/>
    </row>
    <row r="51" spans="1:6" ht="18" x14ac:dyDescent="0.35">
      <c r="A51" s="147"/>
      <c r="B51" s="171" t="s">
        <v>6</v>
      </c>
      <c r="C51" s="186">
        <f>SUM(C43:C50)</f>
        <v>304138.95701156813</v>
      </c>
      <c r="D51" s="186"/>
    </row>
    <row r="52" spans="1:6" s="154" customFormat="1" ht="18" x14ac:dyDescent="0.35">
      <c r="A52" s="157"/>
      <c r="B52" s="171" t="s">
        <v>176</v>
      </c>
      <c r="C52" s="149" t="s">
        <v>171</v>
      </c>
      <c r="D52" s="149"/>
      <c r="F52" s="156"/>
    </row>
    <row r="53" spans="1:6" ht="18" x14ac:dyDescent="0.35">
      <c r="A53" s="147"/>
      <c r="B53" s="173" t="s">
        <v>193</v>
      </c>
      <c r="C53" s="158">
        <v>0</v>
      </c>
      <c r="D53" s="158"/>
    </row>
    <row r="54" spans="1:6" ht="18" x14ac:dyDescent="0.35">
      <c r="A54" s="147"/>
      <c r="B54" s="173" t="s">
        <v>285</v>
      </c>
      <c r="C54" s="201">
        <f>3000000/2506.03</f>
        <v>1197.1125644944393</v>
      </c>
      <c r="D54" s="158"/>
    </row>
    <row r="55" spans="1:6" ht="18" x14ac:dyDescent="0.35">
      <c r="A55" s="147"/>
      <c r="B55" s="173" t="s">
        <v>280</v>
      </c>
      <c r="C55" s="152">
        <f>35733399.1/2506.03</f>
        <v>14258.967011568096</v>
      </c>
      <c r="D55" s="158"/>
    </row>
    <row r="56" spans="1:6" ht="18" x14ac:dyDescent="0.35">
      <c r="A56" s="147"/>
      <c r="B56" s="173" t="s">
        <v>228</v>
      </c>
      <c r="C56" s="152">
        <f>134502682.26/2506.03</f>
        <v>53671.616963883105</v>
      </c>
      <c r="D56" s="158"/>
    </row>
    <row r="57" spans="1:6" ht="18" x14ac:dyDescent="0.35">
      <c r="A57" s="147"/>
      <c r="B57" s="158" t="s">
        <v>194</v>
      </c>
      <c r="C57" s="152">
        <v>7760.38</v>
      </c>
      <c r="D57" s="158"/>
    </row>
    <row r="58" spans="1:6" ht="18" x14ac:dyDescent="0.35">
      <c r="A58" s="147"/>
      <c r="B58" s="158" t="s">
        <v>226</v>
      </c>
      <c r="C58" s="152">
        <v>23000.340000000004</v>
      </c>
      <c r="D58" s="158"/>
    </row>
    <row r="59" spans="1:6" ht="18" x14ac:dyDescent="0.35">
      <c r="A59" s="147"/>
      <c r="B59" s="158" t="s">
        <v>227</v>
      </c>
      <c r="C59" s="152">
        <v>81299</v>
      </c>
      <c r="D59" s="158"/>
    </row>
    <row r="60" spans="1:6" s="154" customFormat="1" ht="18" x14ac:dyDescent="0.35">
      <c r="A60" s="157"/>
      <c r="B60" s="173" t="s">
        <v>286</v>
      </c>
      <c r="C60" s="152">
        <v>15965</v>
      </c>
      <c r="D60" s="158"/>
      <c r="F60" s="156"/>
    </row>
    <row r="61" spans="1:6" s="154" customFormat="1" ht="18" x14ac:dyDescent="0.35">
      <c r="A61" s="157"/>
      <c r="B61" s="173" t="s">
        <v>225</v>
      </c>
      <c r="C61" s="152">
        <v>7652.79</v>
      </c>
      <c r="D61" s="158"/>
      <c r="F61" s="156"/>
    </row>
    <row r="62" spans="1:6" ht="18" x14ac:dyDescent="0.35">
      <c r="A62" s="147"/>
      <c r="B62" s="173" t="s">
        <v>178</v>
      </c>
      <c r="C62" s="152">
        <v>82625.31</v>
      </c>
      <c r="D62" s="158"/>
    </row>
    <row r="63" spans="1:6" ht="18" x14ac:dyDescent="0.35">
      <c r="A63" s="147"/>
      <c r="B63" s="173" t="s">
        <v>237</v>
      </c>
      <c r="C63" s="152">
        <v>756</v>
      </c>
      <c r="D63" s="158"/>
    </row>
    <row r="64" spans="1:6" ht="18" x14ac:dyDescent="0.35">
      <c r="A64" s="147"/>
      <c r="B64" s="173" t="s">
        <v>232</v>
      </c>
      <c r="C64" s="152">
        <v>33219.56</v>
      </c>
      <c r="D64" s="158"/>
    </row>
    <row r="65" spans="1:7" ht="18" x14ac:dyDescent="0.35">
      <c r="A65" s="147"/>
      <c r="B65" s="173" t="s">
        <v>238</v>
      </c>
      <c r="C65" s="178">
        <v>67586.789999999994</v>
      </c>
      <c r="D65" s="159"/>
    </row>
    <row r="66" spans="1:7" ht="18" x14ac:dyDescent="0.35">
      <c r="A66" s="147"/>
      <c r="B66" s="171" t="s">
        <v>6</v>
      </c>
      <c r="C66" s="186">
        <f>SUM(C53:C65)</f>
        <v>388992.86653994559</v>
      </c>
      <c r="D66" s="186"/>
    </row>
    <row r="67" spans="1:7" ht="20.25" customHeight="1" x14ac:dyDescent="0.35">
      <c r="A67" s="147"/>
      <c r="B67" s="147"/>
      <c r="C67" s="147"/>
      <c r="D67" s="147"/>
    </row>
    <row r="68" spans="1:7" ht="20.25" customHeight="1" x14ac:dyDescent="0.35">
      <c r="A68" s="147"/>
      <c r="B68" s="108" t="s">
        <v>284</v>
      </c>
      <c r="C68" s="160" t="s">
        <v>115</v>
      </c>
      <c r="D68" s="144"/>
    </row>
    <row r="69" spans="1:7" ht="20.25" customHeight="1" x14ac:dyDescent="0.35">
      <c r="A69" s="147"/>
      <c r="B69" s="187" t="s">
        <v>287</v>
      </c>
      <c r="C69" s="161">
        <v>1371374.09</v>
      </c>
      <c r="D69" s="188"/>
      <c r="E69" s="162"/>
    </row>
    <row r="70" spans="1:7" ht="36" x14ac:dyDescent="0.35">
      <c r="A70" s="147"/>
      <c r="B70" s="189" t="s">
        <v>288</v>
      </c>
      <c r="C70" s="161">
        <f>436112655.56/2506.03</f>
        <v>174025.31316863722</v>
      </c>
      <c r="D70" s="188"/>
      <c r="E70" s="162"/>
    </row>
    <row r="71" spans="1:7" ht="20.25" customHeight="1" x14ac:dyDescent="0.35">
      <c r="A71" s="147"/>
      <c r="B71" s="157" t="s">
        <v>116</v>
      </c>
      <c r="C71" s="190">
        <f>SUM(C69:C70)</f>
        <v>1545399.4031686373</v>
      </c>
      <c r="D71" s="144"/>
      <c r="E71" s="162"/>
    </row>
    <row r="72" spans="1:7" ht="20.25" customHeight="1" x14ac:dyDescent="0.35">
      <c r="C72" s="151"/>
      <c r="D72" s="151"/>
      <c r="E72" s="163"/>
      <c r="G72" s="199"/>
    </row>
    <row r="73" spans="1:7" ht="20.25" customHeight="1" x14ac:dyDescent="0.35">
      <c r="C73" s="151"/>
      <c r="D73" s="151"/>
      <c r="E73" s="163"/>
    </row>
    <row r="74" spans="1:7" ht="20.25" customHeight="1" x14ac:dyDescent="0.35">
      <c r="D74" s="151"/>
      <c r="E74" s="163"/>
    </row>
    <row r="75" spans="1:7" ht="20.25" customHeight="1" x14ac:dyDescent="0.35">
      <c r="E75" s="151"/>
    </row>
  </sheetData>
  <mergeCells count="3">
    <mergeCell ref="B1:E1"/>
    <mergeCell ref="B2:E2"/>
    <mergeCell ref="B3:E3"/>
  </mergeCells>
  <pageMargins left="0.7" right="0.7" top="0.75" bottom="0.75" header="0.3" footer="0.3"/>
  <pageSetup scale="5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9"/>
  <sheetViews>
    <sheetView tabSelected="1" workbookViewId="0">
      <selection activeCell="I65" sqref="I65"/>
    </sheetView>
  </sheetViews>
  <sheetFormatPr defaultColWidth="8.7109375" defaultRowHeight="16.5" x14ac:dyDescent="0.3"/>
  <cols>
    <col min="1" max="1" width="17.28515625" style="89" customWidth="1"/>
    <col min="2" max="2" width="69.140625" style="89" customWidth="1"/>
    <col min="3" max="3" width="19" style="117" bestFit="1" customWidth="1"/>
    <col min="4" max="4" width="17.28515625" style="117" customWidth="1"/>
    <col min="5" max="8" width="18.7109375" style="89" customWidth="1"/>
    <col min="9" max="9" width="29.5703125" style="89" customWidth="1"/>
    <col min="10" max="11" width="8.7109375" style="89"/>
    <col min="12" max="12" width="15.7109375" style="89" bestFit="1" customWidth="1"/>
    <col min="13" max="13" width="10.5703125" style="89" bestFit="1" customWidth="1"/>
    <col min="14" max="16384" width="8.7109375" style="89"/>
  </cols>
  <sheetData>
    <row r="1" spans="1:12" ht="18" x14ac:dyDescent="0.35">
      <c r="A1" s="211" t="s">
        <v>170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2" ht="21" customHeight="1" x14ac:dyDescent="0.35">
      <c r="A2" s="211" t="s">
        <v>127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12" ht="21" customHeight="1" x14ac:dyDescent="0.35">
      <c r="A3" s="216" t="s">
        <v>277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2" ht="15.6" customHeight="1" x14ac:dyDescent="0.35">
      <c r="A4" s="90" t="s">
        <v>119</v>
      </c>
      <c r="B4" s="91" t="s">
        <v>120</v>
      </c>
      <c r="C4" s="208" t="s">
        <v>276</v>
      </c>
      <c r="D4" s="209"/>
      <c r="E4" s="210"/>
      <c r="F4" s="208" t="s">
        <v>278</v>
      </c>
      <c r="G4" s="209"/>
      <c r="H4" s="210"/>
      <c r="I4" s="92"/>
      <c r="J4" s="92"/>
      <c r="K4" s="92"/>
    </row>
    <row r="5" spans="1:12" ht="18" x14ac:dyDescent="0.35">
      <c r="A5" s="90"/>
      <c r="B5" s="93"/>
      <c r="C5" s="94" t="s">
        <v>99</v>
      </c>
      <c r="D5" s="95" t="s">
        <v>3</v>
      </c>
      <c r="E5" s="96" t="s">
        <v>4</v>
      </c>
      <c r="F5" s="94" t="s">
        <v>99</v>
      </c>
      <c r="G5" s="95" t="s">
        <v>3</v>
      </c>
      <c r="H5" s="96" t="s">
        <v>4</v>
      </c>
      <c r="I5" s="212" t="s">
        <v>234</v>
      </c>
      <c r="J5" s="212" t="s">
        <v>121</v>
      </c>
      <c r="K5" s="214" t="s">
        <v>122</v>
      </c>
    </row>
    <row r="6" spans="1:12" ht="24.75" customHeight="1" x14ac:dyDescent="0.35">
      <c r="A6" s="90" t="s">
        <v>17</v>
      </c>
      <c r="B6" s="90" t="s">
        <v>18</v>
      </c>
      <c r="C6" s="97" t="s">
        <v>156</v>
      </c>
      <c r="D6" s="97" t="s">
        <v>156</v>
      </c>
      <c r="E6" s="97" t="s">
        <v>156</v>
      </c>
      <c r="F6" s="97" t="s">
        <v>156</v>
      </c>
      <c r="G6" s="97" t="s">
        <v>156</v>
      </c>
      <c r="H6" s="97" t="s">
        <v>156</v>
      </c>
      <c r="I6" s="213"/>
      <c r="J6" s="213"/>
      <c r="K6" s="215"/>
    </row>
    <row r="7" spans="1:12" ht="32.1" customHeight="1" x14ac:dyDescent="0.35">
      <c r="A7" s="98">
        <v>1.1000000000000001</v>
      </c>
      <c r="B7" s="99" t="s">
        <v>168</v>
      </c>
      <c r="C7" s="100">
        <v>5698.26</v>
      </c>
      <c r="D7" s="101">
        <v>6000</v>
      </c>
      <c r="E7" s="102">
        <f>D7-C7</f>
        <v>301.73999999999978</v>
      </c>
      <c r="F7" s="102">
        <f>47543.28+C7</f>
        <v>53241.54</v>
      </c>
      <c r="G7" s="103">
        <v>50000</v>
      </c>
      <c r="H7" s="102">
        <f>G7-F7</f>
        <v>-3241.5400000000009</v>
      </c>
      <c r="I7" s="104" t="s">
        <v>126</v>
      </c>
      <c r="J7" s="105" t="s">
        <v>123</v>
      </c>
      <c r="K7" s="92"/>
      <c r="L7" s="196"/>
    </row>
    <row r="8" spans="1:12" ht="32.1" customHeight="1" x14ac:dyDescent="0.35">
      <c r="A8" s="106">
        <v>1.2</v>
      </c>
      <c r="B8" s="98" t="s">
        <v>183</v>
      </c>
      <c r="C8" s="100">
        <v>1227.76</v>
      </c>
      <c r="D8" s="101">
        <v>2000</v>
      </c>
      <c r="E8" s="102">
        <f>D8-C8</f>
        <v>772.24</v>
      </c>
      <c r="F8" s="102">
        <f>2069.14+C8</f>
        <v>3296.8999999999996</v>
      </c>
      <c r="G8" s="103">
        <f>D8</f>
        <v>2000</v>
      </c>
      <c r="H8" s="102">
        <f>G8-F8</f>
        <v>-1296.8999999999996</v>
      </c>
      <c r="I8" s="105"/>
      <c r="J8" s="105"/>
      <c r="K8" s="92"/>
      <c r="L8" s="196"/>
    </row>
    <row r="9" spans="1:12" ht="36" x14ac:dyDescent="0.35">
      <c r="A9" s="106">
        <v>1.3</v>
      </c>
      <c r="B9" s="98" t="s">
        <v>195</v>
      </c>
      <c r="C9" s="107">
        <v>399.04</v>
      </c>
      <c r="D9" s="101">
        <v>1000</v>
      </c>
      <c r="E9" s="102">
        <f>D9-C9</f>
        <v>600.96</v>
      </c>
      <c r="F9" s="102">
        <f>897.09+C9</f>
        <v>1296.1300000000001</v>
      </c>
      <c r="G9" s="103">
        <v>500</v>
      </c>
      <c r="H9" s="102">
        <f t="shared" ref="H9:H37" si="0">G9-F9</f>
        <v>-796.13000000000011</v>
      </c>
      <c r="I9" s="105"/>
      <c r="J9" s="105"/>
      <c r="K9" s="92"/>
      <c r="L9" s="196"/>
    </row>
    <row r="10" spans="1:12" s="113" customFormat="1" ht="18" x14ac:dyDescent="0.35">
      <c r="A10" s="108"/>
      <c r="B10" s="90" t="s">
        <v>75</v>
      </c>
      <c r="C10" s="109">
        <f>SUM(C7:C9)</f>
        <v>7325.06</v>
      </c>
      <c r="D10" s="109">
        <f>SUM(D7:D9)</f>
        <v>9000</v>
      </c>
      <c r="E10" s="109">
        <f>D10-C10</f>
        <v>1674.9399999999996</v>
      </c>
      <c r="F10" s="110">
        <f>SUM(F7:F9)</f>
        <v>57834.57</v>
      </c>
      <c r="G10" s="109">
        <f>SUM(G7:G9)</f>
        <v>52500</v>
      </c>
      <c r="H10" s="109">
        <f>SUM(H7:H9)</f>
        <v>-5334.5700000000006</v>
      </c>
      <c r="I10" s="111"/>
      <c r="J10" s="112"/>
      <c r="K10" s="112"/>
      <c r="L10" s="196"/>
    </row>
    <row r="11" spans="1:12" ht="18" x14ac:dyDescent="0.35">
      <c r="A11" s="90" t="s">
        <v>19</v>
      </c>
      <c r="B11" s="90" t="s">
        <v>5</v>
      </c>
      <c r="C11" s="114"/>
      <c r="D11" s="114"/>
      <c r="E11" s="102">
        <f t="shared" ref="E11:E38" si="1">D11-C11</f>
        <v>0</v>
      </c>
      <c r="F11" s="102">
        <v>0</v>
      </c>
      <c r="G11" s="103">
        <v>0</v>
      </c>
      <c r="H11" s="102">
        <f t="shared" si="0"/>
        <v>0</v>
      </c>
      <c r="I11" s="115"/>
      <c r="J11" s="92"/>
      <c r="K11" s="92"/>
    </row>
    <row r="12" spans="1:12" ht="54" x14ac:dyDescent="0.35">
      <c r="A12" s="89">
        <v>2.1</v>
      </c>
      <c r="B12" s="98" t="s">
        <v>196</v>
      </c>
      <c r="C12" s="100">
        <v>0</v>
      </c>
      <c r="D12" s="101">
        <v>320000</v>
      </c>
      <c r="E12" s="102">
        <f t="shared" si="1"/>
        <v>320000</v>
      </c>
      <c r="F12" s="102">
        <f>1939.52+C12</f>
        <v>1939.52</v>
      </c>
      <c r="G12" s="103">
        <f>4000</f>
        <v>4000</v>
      </c>
      <c r="H12" s="102">
        <f t="shared" si="0"/>
        <v>2060.48</v>
      </c>
      <c r="I12" s="105" t="s">
        <v>125</v>
      </c>
      <c r="J12" s="105" t="s">
        <v>123</v>
      </c>
      <c r="K12" s="92"/>
      <c r="L12" s="196"/>
    </row>
    <row r="13" spans="1:12" ht="36" x14ac:dyDescent="0.35">
      <c r="A13" s="106">
        <v>2.2000000000000002</v>
      </c>
      <c r="B13" s="98" t="s">
        <v>197</v>
      </c>
      <c r="C13" s="195">
        <f>0</f>
        <v>0</v>
      </c>
      <c r="D13" s="101">
        <v>150000</v>
      </c>
      <c r="E13" s="102">
        <f t="shared" si="1"/>
        <v>150000</v>
      </c>
      <c r="F13" s="102">
        <f>C13</f>
        <v>0</v>
      </c>
      <c r="G13" s="103">
        <v>9500</v>
      </c>
      <c r="H13" s="102">
        <f t="shared" si="0"/>
        <v>9500</v>
      </c>
      <c r="I13" s="105"/>
      <c r="J13" s="105"/>
      <c r="K13" s="92"/>
      <c r="L13" s="196"/>
    </row>
    <row r="14" spans="1:12" ht="36" x14ac:dyDescent="0.35">
      <c r="A14" s="106">
        <v>2.2999999999999998</v>
      </c>
      <c r="B14" s="98" t="s">
        <v>197</v>
      </c>
      <c r="C14" s="102">
        <v>0</v>
      </c>
      <c r="D14" s="101">
        <v>115200</v>
      </c>
      <c r="E14" s="102">
        <f t="shared" si="1"/>
        <v>115200</v>
      </c>
      <c r="F14" s="102">
        <v>847.5</v>
      </c>
      <c r="G14" s="103">
        <v>5000</v>
      </c>
      <c r="H14" s="102">
        <f t="shared" si="0"/>
        <v>4152.5</v>
      </c>
      <c r="I14" s="105"/>
      <c r="J14" s="105"/>
      <c r="K14" s="92"/>
      <c r="L14" s="196"/>
    </row>
    <row r="15" spans="1:12" s="113" customFormat="1" ht="18" x14ac:dyDescent="0.35">
      <c r="A15" s="90"/>
      <c r="B15" s="90" t="s">
        <v>75</v>
      </c>
      <c r="C15" s="109">
        <f>SUM(C11:C14)</f>
        <v>0</v>
      </c>
      <c r="D15" s="109">
        <f>SUM(D11:D14)</f>
        <v>585200</v>
      </c>
      <c r="E15" s="109">
        <f t="shared" si="1"/>
        <v>585200</v>
      </c>
      <c r="F15" s="109">
        <f>SUM(F11:F14)</f>
        <v>2787.02</v>
      </c>
      <c r="G15" s="109">
        <f>SUM(G11:G14)</f>
        <v>18500</v>
      </c>
      <c r="H15" s="109">
        <f>SUM(H11:H14)</f>
        <v>15712.98</v>
      </c>
      <c r="I15" s="111"/>
      <c r="J15" s="112"/>
      <c r="K15" s="112"/>
      <c r="L15" s="196"/>
    </row>
    <row r="16" spans="1:12" ht="18" x14ac:dyDescent="0.35">
      <c r="A16" s="108" t="s">
        <v>20</v>
      </c>
      <c r="B16" s="90" t="s">
        <v>21</v>
      </c>
      <c r="C16" s="114"/>
      <c r="D16" s="114"/>
      <c r="E16" s="102">
        <f t="shared" si="1"/>
        <v>0</v>
      </c>
      <c r="F16" s="102">
        <v>0</v>
      </c>
      <c r="G16" s="103">
        <v>0</v>
      </c>
      <c r="H16" s="102">
        <f t="shared" si="0"/>
        <v>0</v>
      </c>
      <c r="I16" s="115"/>
      <c r="J16" s="92"/>
      <c r="K16" s="92"/>
    </row>
    <row r="17" spans="1:12" ht="18" x14ac:dyDescent="0.35">
      <c r="A17" s="106">
        <f>'[2]Planned Output, Activity &amp; Cost'!$B$16</f>
        <v>3.1</v>
      </c>
      <c r="B17" s="98" t="s">
        <v>184</v>
      </c>
      <c r="C17" s="118">
        <v>726</v>
      </c>
      <c r="D17" s="101">
        <v>2000</v>
      </c>
      <c r="E17" s="102">
        <f t="shared" si="1"/>
        <v>1274</v>
      </c>
      <c r="F17" s="102">
        <f>3966.85+C17</f>
        <v>4692.8500000000004</v>
      </c>
      <c r="G17" s="103">
        <v>5000</v>
      </c>
      <c r="H17" s="102">
        <f t="shared" si="0"/>
        <v>307.14999999999964</v>
      </c>
      <c r="I17" s="105" t="s">
        <v>125</v>
      </c>
      <c r="J17" s="105" t="s">
        <v>123</v>
      </c>
      <c r="K17" s="92"/>
      <c r="L17" s="196"/>
    </row>
    <row r="18" spans="1:12" s="113" customFormat="1" ht="18" x14ac:dyDescent="0.35">
      <c r="A18" s="90"/>
      <c r="B18" s="90" t="s">
        <v>75</v>
      </c>
      <c r="C18" s="109">
        <f>SUM(C16:C17)</f>
        <v>726</v>
      </c>
      <c r="D18" s="109">
        <f>SUM(D16:D17)</f>
        <v>2000</v>
      </c>
      <c r="E18" s="109">
        <f>D18-C18</f>
        <v>1274</v>
      </c>
      <c r="F18" s="109">
        <f>SUM(F16:F17)</f>
        <v>4692.8500000000004</v>
      </c>
      <c r="G18" s="109">
        <f>SUM(G16:G17)</f>
        <v>5000</v>
      </c>
      <c r="H18" s="109">
        <f>SUM(H16:H17)</f>
        <v>307.14999999999964</v>
      </c>
      <c r="I18" s="112"/>
      <c r="J18" s="112"/>
      <c r="K18" s="112"/>
      <c r="L18" s="196"/>
    </row>
    <row r="19" spans="1:12" ht="18" x14ac:dyDescent="0.35">
      <c r="A19" s="90" t="s">
        <v>22</v>
      </c>
      <c r="B19" s="90" t="s">
        <v>23</v>
      </c>
      <c r="C19" s="114"/>
      <c r="D19" s="114"/>
      <c r="E19" s="102">
        <f t="shared" si="1"/>
        <v>0</v>
      </c>
      <c r="F19" s="102">
        <v>0</v>
      </c>
      <c r="G19" s="103">
        <v>0</v>
      </c>
      <c r="H19" s="102">
        <f t="shared" si="0"/>
        <v>0</v>
      </c>
      <c r="I19" s="92"/>
      <c r="J19" s="92"/>
      <c r="K19" s="92"/>
    </row>
    <row r="20" spans="1:12" ht="36" x14ac:dyDescent="0.35">
      <c r="A20" s="106">
        <v>4.0999999999999996</v>
      </c>
      <c r="B20" s="191" t="s">
        <v>264</v>
      </c>
      <c r="C20" s="119">
        <v>5087.7299999999996</v>
      </c>
      <c r="D20" s="120">
        <v>8000</v>
      </c>
      <c r="E20" s="102">
        <f t="shared" si="1"/>
        <v>2912.2700000000004</v>
      </c>
      <c r="F20" s="119">
        <v>5087.7299999999996</v>
      </c>
      <c r="G20" s="103">
        <v>8000</v>
      </c>
      <c r="H20" s="102">
        <f t="shared" si="0"/>
        <v>2912.2700000000004</v>
      </c>
      <c r="I20" s="105" t="s">
        <v>125</v>
      </c>
      <c r="J20" s="105" t="s">
        <v>123</v>
      </c>
      <c r="K20" s="92"/>
      <c r="L20" s="196"/>
    </row>
    <row r="21" spans="1:12" s="113" customFormat="1" ht="18" x14ac:dyDescent="0.35">
      <c r="A21" s="90"/>
      <c r="B21" s="90" t="s">
        <v>75</v>
      </c>
      <c r="C21" s="109">
        <f>SUM(C19:C20)</f>
        <v>5087.7299999999996</v>
      </c>
      <c r="D21" s="109">
        <f>SUM(D19:D20)</f>
        <v>8000</v>
      </c>
      <c r="E21" s="109">
        <f t="shared" si="1"/>
        <v>2912.2700000000004</v>
      </c>
      <c r="F21" s="109">
        <f>SUM(F19:F20)</f>
        <v>5087.7299999999996</v>
      </c>
      <c r="G21" s="109">
        <f>SUM(G19:G20)</f>
        <v>8000</v>
      </c>
      <c r="H21" s="109">
        <f>SUM(H19:H20)</f>
        <v>2912.2700000000004</v>
      </c>
      <c r="I21" s="112"/>
      <c r="J21" s="112"/>
      <c r="K21" s="112"/>
      <c r="L21" s="196"/>
    </row>
    <row r="22" spans="1:12" ht="18" x14ac:dyDescent="0.35">
      <c r="A22" s="90" t="s">
        <v>24</v>
      </c>
      <c r="B22" s="90" t="s">
        <v>25</v>
      </c>
      <c r="C22" s="114"/>
      <c r="D22" s="114"/>
      <c r="E22" s="102">
        <f t="shared" si="1"/>
        <v>0</v>
      </c>
      <c r="F22" s="102">
        <v>0</v>
      </c>
      <c r="G22" s="103">
        <v>0</v>
      </c>
      <c r="H22" s="102">
        <f t="shared" si="0"/>
        <v>0</v>
      </c>
      <c r="I22" s="92"/>
      <c r="J22" s="92"/>
      <c r="K22" s="92"/>
      <c r="L22" s="196"/>
    </row>
    <row r="23" spans="1:12" ht="18" x14ac:dyDescent="0.35">
      <c r="A23" s="122">
        <v>5.0999999999999996</v>
      </c>
      <c r="B23" s="98" t="s">
        <v>198</v>
      </c>
      <c r="C23" s="118">
        <v>0</v>
      </c>
      <c r="D23" s="121">
        <v>1000</v>
      </c>
      <c r="E23" s="102">
        <f t="shared" si="1"/>
        <v>1000</v>
      </c>
      <c r="F23" s="102">
        <v>0</v>
      </c>
      <c r="G23" s="103">
        <v>6500</v>
      </c>
      <c r="H23" s="102">
        <f t="shared" si="0"/>
        <v>6500</v>
      </c>
      <c r="I23" s="105" t="s">
        <v>125</v>
      </c>
      <c r="J23" s="105" t="s">
        <v>123</v>
      </c>
      <c r="K23" s="92"/>
      <c r="L23" s="196"/>
    </row>
    <row r="24" spans="1:12" ht="36" x14ac:dyDescent="0.35">
      <c r="A24" s="106">
        <v>5.2</v>
      </c>
      <c r="B24" s="98" t="s">
        <v>265</v>
      </c>
      <c r="C24" s="123">
        <v>7926.64</v>
      </c>
      <c r="D24" s="120">
        <v>10000</v>
      </c>
      <c r="E24" s="102">
        <f t="shared" si="1"/>
        <v>2073.3599999999997</v>
      </c>
      <c r="F24" s="102">
        <f>4274.58+C24</f>
        <v>12201.220000000001</v>
      </c>
      <c r="G24" s="103">
        <v>5000</v>
      </c>
      <c r="H24" s="102">
        <f t="shared" si="0"/>
        <v>-7201.2200000000012</v>
      </c>
      <c r="I24" s="105"/>
      <c r="J24" s="105" t="s">
        <v>123</v>
      </c>
      <c r="K24" s="92"/>
      <c r="L24" s="196"/>
    </row>
    <row r="25" spans="1:12" s="113" customFormat="1" ht="18" x14ac:dyDescent="0.35">
      <c r="A25" s="90"/>
      <c r="B25" s="90" t="s">
        <v>75</v>
      </c>
      <c r="C25" s="109">
        <f>SUM(C22:C24)</f>
        <v>7926.64</v>
      </c>
      <c r="D25" s="109">
        <f>SUM(D22:D24)</f>
        <v>11000</v>
      </c>
      <c r="E25" s="109">
        <f t="shared" si="1"/>
        <v>3073.3599999999997</v>
      </c>
      <c r="F25" s="109">
        <f>SUM(F22:F24)</f>
        <v>12201.220000000001</v>
      </c>
      <c r="G25" s="109">
        <f>SUM(G22:G24)</f>
        <v>11500</v>
      </c>
      <c r="H25" s="109">
        <f>SUM(H22:H24)</f>
        <v>-701.22000000000116</v>
      </c>
      <c r="I25" s="112"/>
      <c r="J25" s="112"/>
      <c r="K25" s="112"/>
      <c r="L25" s="196"/>
    </row>
    <row r="26" spans="1:12" ht="18" x14ac:dyDescent="0.35">
      <c r="A26" s="90" t="s">
        <v>26</v>
      </c>
      <c r="B26" s="90" t="s">
        <v>27</v>
      </c>
      <c r="C26" s="114"/>
      <c r="D26" s="114"/>
      <c r="E26" s="102">
        <f t="shared" si="1"/>
        <v>0</v>
      </c>
      <c r="F26" s="102">
        <v>0</v>
      </c>
      <c r="G26" s="103">
        <v>0</v>
      </c>
      <c r="H26" s="102">
        <f t="shared" si="0"/>
        <v>0</v>
      </c>
      <c r="I26" s="92"/>
      <c r="J26" s="92"/>
      <c r="K26" s="92"/>
    </row>
    <row r="27" spans="1:12" ht="36" x14ac:dyDescent="0.35">
      <c r="A27" s="106">
        <v>6.1</v>
      </c>
      <c r="B27" s="98" t="s">
        <v>266</v>
      </c>
      <c r="C27" s="101">
        <v>7853.14</v>
      </c>
      <c r="D27" s="121">
        <v>10000</v>
      </c>
      <c r="E27" s="102">
        <f t="shared" si="1"/>
        <v>2146.8599999999997</v>
      </c>
      <c r="F27" s="102">
        <f>9259.64+C27</f>
        <v>17112.78</v>
      </c>
      <c r="G27" s="103">
        <v>7600</v>
      </c>
      <c r="H27" s="102">
        <f t="shared" si="0"/>
        <v>-9512.7799999999988</v>
      </c>
      <c r="I27" s="92"/>
      <c r="J27" s="92"/>
      <c r="K27" s="92"/>
      <c r="L27" s="196"/>
    </row>
    <row r="28" spans="1:12" s="113" customFormat="1" ht="18" x14ac:dyDescent="0.35">
      <c r="A28" s="90"/>
      <c r="B28" s="90" t="s">
        <v>75</v>
      </c>
      <c r="C28" s="109">
        <f>SUM(C26:C27)</f>
        <v>7853.14</v>
      </c>
      <c r="D28" s="109">
        <f>SUM(D26:D27)</f>
        <v>10000</v>
      </c>
      <c r="E28" s="109">
        <f t="shared" si="1"/>
        <v>2146.8599999999997</v>
      </c>
      <c r="F28" s="109">
        <f>SUM(F26:F27)</f>
        <v>17112.78</v>
      </c>
      <c r="G28" s="109">
        <f>SUM(G26:G27)</f>
        <v>7600</v>
      </c>
      <c r="H28" s="109">
        <f>SUM(H26:H27)</f>
        <v>-9512.7799999999988</v>
      </c>
      <c r="I28" s="112"/>
      <c r="J28" s="112"/>
      <c r="K28" s="112"/>
      <c r="L28" s="196"/>
    </row>
    <row r="29" spans="1:12" ht="18" x14ac:dyDescent="0.35">
      <c r="A29" s="90" t="s">
        <v>28</v>
      </c>
      <c r="B29" s="90" t="s">
        <v>29</v>
      </c>
      <c r="C29" s="114"/>
      <c r="D29" s="114"/>
      <c r="E29" s="102">
        <f t="shared" si="1"/>
        <v>0</v>
      </c>
      <c r="F29" s="102">
        <v>0</v>
      </c>
      <c r="G29" s="103">
        <v>0</v>
      </c>
      <c r="H29" s="102">
        <f t="shared" si="0"/>
        <v>0</v>
      </c>
      <c r="I29" s="92"/>
      <c r="J29" s="92"/>
      <c r="K29" s="92"/>
      <c r="L29" s="196"/>
    </row>
    <row r="30" spans="1:12" ht="72" x14ac:dyDescent="0.35">
      <c r="A30" s="106">
        <v>7.1</v>
      </c>
      <c r="B30" s="98" t="s">
        <v>199</v>
      </c>
      <c r="C30" s="101">
        <v>6512.29</v>
      </c>
      <c r="D30" s="102">
        <v>10000</v>
      </c>
      <c r="E30" s="102">
        <f t="shared" si="1"/>
        <v>3487.71</v>
      </c>
      <c r="F30" s="102">
        <f>61167.1064548206+C30</f>
        <v>67679.396454820599</v>
      </c>
      <c r="G30" s="103">
        <v>10000</v>
      </c>
      <c r="H30" s="102">
        <f t="shared" si="0"/>
        <v>-57679.396454820599</v>
      </c>
      <c r="I30" s="92"/>
      <c r="J30" s="92"/>
      <c r="K30" s="92"/>
      <c r="L30" s="196"/>
    </row>
    <row r="31" spans="1:12" s="113" customFormat="1" ht="18" x14ac:dyDescent="0.35">
      <c r="A31" s="90"/>
      <c r="B31" s="90" t="s">
        <v>75</v>
      </c>
      <c r="C31" s="109">
        <f>SUM(C29:C30)</f>
        <v>6512.29</v>
      </c>
      <c r="D31" s="109">
        <f>SUM(D29:D30)</f>
        <v>10000</v>
      </c>
      <c r="E31" s="109">
        <f t="shared" si="1"/>
        <v>3487.71</v>
      </c>
      <c r="F31" s="109">
        <f>SUM(F29:F30)</f>
        <v>67679.396454820599</v>
      </c>
      <c r="G31" s="109">
        <f>SUM(G29:G30)</f>
        <v>10000</v>
      </c>
      <c r="H31" s="109">
        <f>SUM(H29:H30)</f>
        <v>-57679.396454820599</v>
      </c>
      <c r="I31" s="112"/>
      <c r="J31" s="112"/>
      <c r="K31" s="112"/>
      <c r="L31" s="196"/>
    </row>
    <row r="32" spans="1:12" ht="18" x14ac:dyDescent="0.35">
      <c r="A32" s="90" t="s">
        <v>30</v>
      </c>
      <c r="B32" s="90" t="s">
        <v>31</v>
      </c>
      <c r="C32" s="114"/>
      <c r="D32" s="114"/>
      <c r="E32" s="102">
        <f t="shared" si="1"/>
        <v>0</v>
      </c>
      <c r="F32" s="102">
        <v>0</v>
      </c>
      <c r="G32" s="103">
        <v>0</v>
      </c>
      <c r="H32" s="102">
        <f t="shared" si="0"/>
        <v>0</v>
      </c>
      <c r="I32" s="92"/>
      <c r="J32" s="92"/>
      <c r="K32" s="92"/>
    </row>
    <row r="33" spans="1:12" ht="18" x14ac:dyDescent="0.35">
      <c r="A33" s="106">
        <v>8.1</v>
      </c>
      <c r="B33" s="98" t="s">
        <v>267</v>
      </c>
      <c r="C33" s="116">
        <v>558.65</v>
      </c>
      <c r="D33" s="102">
        <v>5000</v>
      </c>
      <c r="E33" s="102">
        <f t="shared" si="1"/>
        <v>4441.3500000000004</v>
      </c>
      <c r="F33" s="102">
        <f>8557.26+C33</f>
        <v>9115.91</v>
      </c>
      <c r="G33" s="103">
        <v>18826</v>
      </c>
      <c r="H33" s="102">
        <f t="shared" si="0"/>
        <v>9710.09</v>
      </c>
      <c r="I33" s="92"/>
      <c r="J33" s="92"/>
      <c r="K33" s="92"/>
      <c r="L33" s="196"/>
    </row>
    <row r="34" spans="1:12" s="113" customFormat="1" ht="18" x14ac:dyDescent="0.35">
      <c r="A34" s="90"/>
      <c r="B34" s="90" t="s">
        <v>75</v>
      </c>
      <c r="C34" s="109">
        <f t="shared" ref="C34:H34" si="2">SUM(C32:C33)</f>
        <v>558.65</v>
      </c>
      <c r="D34" s="109">
        <f t="shared" si="2"/>
        <v>5000</v>
      </c>
      <c r="E34" s="109">
        <f t="shared" si="2"/>
        <v>4441.3500000000004</v>
      </c>
      <c r="F34" s="109">
        <f t="shared" si="2"/>
        <v>9115.91</v>
      </c>
      <c r="G34" s="109">
        <f t="shared" si="2"/>
        <v>18826</v>
      </c>
      <c r="H34" s="109">
        <f t="shared" si="2"/>
        <v>9710.09</v>
      </c>
      <c r="I34" s="112"/>
      <c r="J34" s="112"/>
      <c r="K34" s="112"/>
      <c r="L34" s="196"/>
    </row>
    <row r="35" spans="1:12" ht="18" x14ac:dyDescent="0.35">
      <c r="A35" s="90" t="s">
        <v>32</v>
      </c>
      <c r="B35" s="90" t="s">
        <v>33</v>
      </c>
      <c r="C35" s="114"/>
      <c r="D35" s="114"/>
      <c r="E35" s="102">
        <f t="shared" si="1"/>
        <v>0</v>
      </c>
      <c r="F35" s="102">
        <v>0</v>
      </c>
      <c r="G35" s="103">
        <v>0</v>
      </c>
      <c r="H35" s="102">
        <f t="shared" si="0"/>
        <v>0</v>
      </c>
      <c r="I35" s="92"/>
      <c r="J35" s="92"/>
      <c r="K35" s="92"/>
    </row>
    <row r="36" spans="1:12" ht="18" x14ac:dyDescent="0.35">
      <c r="A36" s="98">
        <v>9.1</v>
      </c>
      <c r="B36" s="98" t="s">
        <v>200</v>
      </c>
      <c r="C36" s="100">
        <v>1695.91</v>
      </c>
      <c r="D36" s="125">
        <v>10000</v>
      </c>
      <c r="E36" s="102">
        <f t="shared" si="1"/>
        <v>8304.09</v>
      </c>
      <c r="F36" s="102">
        <f>163467.38+C36</f>
        <v>165163.29</v>
      </c>
      <c r="G36" s="103">
        <v>70000</v>
      </c>
      <c r="H36" s="102">
        <f t="shared" si="0"/>
        <v>-95163.290000000008</v>
      </c>
      <c r="I36" s="92"/>
      <c r="J36" s="92"/>
      <c r="K36" s="92"/>
      <c r="L36" s="196"/>
    </row>
    <row r="37" spans="1:12" ht="18" x14ac:dyDescent="0.35">
      <c r="A37" s="98">
        <v>9.1999999999999993</v>
      </c>
      <c r="B37" s="98" t="s">
        <v>201</v>
      </c>
      <c r="C37" s="102">
        <v>686.34</v>
      </c>
      <c r="D37" s="121">
        <v>7500</v>
      </c>
      <c r="E37" s="102">
        <f t="shared" si="1"/>
        <v>6813.66</v>
      </c>
      <c r="F37" s="102">
        <f>8899.44+C37</f>
        <v>9585.7800000000007</v>
      </c>
      <c r="G37" s="103">
        <v>7000</v>
      </c>
      <c r="H37" s="102">
        <f t="shared" si="0"/>
        <v>-2585.7800000000007</v>
      </c>
      <c r="I37" s="115"/>
      <c r="J37" s="92" t="s">
        <v>123</v>
      </c>
      <c r="K37" s="92"/>
      <c r="L37" s="196"/>
    </row>
    <row r="38" spans="1:12" ht="18" x14ac:dyDescent="0.35">
      <c r="A38" s="98">
        <v>9.3000000000000007</v>
      </c>
      <c r="B38" s="98" t="s">
        <v>202</v>
      </c>
      <c r="C38" s="100">
        <v>518.75</v>
      </c>
      <c r="D38" s="121">
        <v>10000</v>
      </c>
      <c r="E38" s="102">
        <f t="shared" si="1"/>
        <v>9481.25</v>
      </c>
      <c r="F38" s="102">
        <f>425668.89+C38</f>
        <v>426187.64</v>
      </c>
      <c r="G38" s="103">
        <v>215000</v>
      </c>
      <c r="H38" s="102">
        <f t="shared" ref="H38:H79" si="3">G38-F38</f>
        <v>-211187.64</v>
      </c>
      <c r="I38" s="105"/>
      <c r="J38" s="105"/>
      <c r="K38" s="92"/>
      <c r="L38" s="196"/>
    </row>
    <row r="39" spans="1:12" ht="18" x14ac:dyDescent="0.35">
      <c r="A39" s="98">
        <v>9.4</v>
      </c>
      <c r="B39" s="98" t="s">
        <v>203</v>
      </c>
      <c r="C39" s="100">
        <v>638.46</v>
      </c>
      <c r="D39" s="121">
        <v>10000</v>
      </c>
      <c r="E39" s="102"/>
      <c r="F39" s="100">
        <v>518.75</v>
      </c>
      <c r="G39" s="103"/>
      <c r="H39" s="102"/>
      <c r="I39" s="105"/>
      <c r="J39" s="105"/>
      <c r="K39" s="92"/>
      <c r="L39" s="196"/>
    </row>
    <row r="40" spans="1:12" ht="18" x14ac:dyDescent="0.35">
      <c r="A40" s="98">
        <v>9.5</v>
      </c>
      <c r="B40" s="98" t="s">
        <v>204</v>
      </c>
      <c r="C40" s="126">
        <v>15186.01</v>
      </c>
      <c r="D40" s="121">
        <v>8000</v>
      </c>
      <c r="E40" s="102">
        <f t="shared" ref="E40:E81" si="4">D40-C40</f>
        <v>-7186.01</v>
      </c>
      <c r="F40" s="102">
        <f>13702.43+C40</f>
        <v>28888.440000000002</v>
      </c>
      <c r="G40" s="103">
        <v>12000</v>
      </c>
      <c r="H40" s="102">
        <f t="shared" si="3"/>
        <v>-16888.440000000002</v>
      </c>
      <c r="I40" s="105"/>
      <c r="J40" s="105" t="s">
        <v>123</v>
      </c>
      <c r="K40" s="92"/>
      <c r="L40" s="196"/>
    </row>
    <row r="41" spans="1:12" ht="72" x14ac:dyDescent="0.35">
      <c r="A41" s="98">
        <v>9.6</v>
      </c>
      <c r="B41" s="98" t="s">
        <v>205</v>
      </c>
      <c r="C41" s="194">
        <f>68523647.27/2506.03</f>
        <v>27343.506370634026</v>
      </c>
      <c r="D41" s="121">
        <v>113118.2</v>
      </c>
      <c r="E41" s="102">
        <f t="shared" si="4"/>
        <v>85774.693629365967</v>
      </c>
      <c r="F41" s="102">
        <f>66501.73+C41</f>
        <v>93845.236370634026</v>
      </c>
      <c r="G41" s="103">
        <v>4000</v>
      </c>
      <c r="H41" s="102">
        <f t="shared" si="3"/>
        <v>-89845.236370634026</v>
      </c>
      <c r="I41" s="105"/>
      <c r="J41" s="105" t="s">
        <v>123</v>
      </c>
      <c r="K41" s="92"/>
      <c r="L41" s="196"/>
    </row>
    <row r="42" spans="1:12" ht="18" x14ac:dyDescent="0.35">
      <c r="A42" s="127">
        <v>9.6999999999999993</v>
      </c>
      <c r="B42" s="98" t="s">
        <v>206</v>
      </c>
      <c r="C42" s="126">
        <v>25269.759999999998</v>
      </c>
      <c r="D42" s="121">
        <v>55375.85</v>
      </c>
      <c r="E42" s="102">
        <f t="shared" si="4"/>
        <v>30106.09</v>
      </c>
      <c r="F42" s="102">
        <f>212460.11+C42</f>
        <v>237729.87</v>
      </c>
      <c r="G42" s="103">
        <v>187704</v>
      </c>
      <c r="H42" s="102">
        <f t="shared" si="3"/>
        <v>-50025.869999999995</v>
      </c>
      <c r="I42" s="105"/>
      <c r="J42" s="105" t="s">
        <v>123</v>
      </c>
      <c r="K42" s="92"/>
      <c r="L42" s="196"/>
    </row>
    <row r="43" spans="1:12" s="134" customFormat="1" ht="36" x14ac:dyDescent="0.3">
      <c r="A43" s="192">
        <v>9.8000000000000007</v>
      </c>
      <c r="B43" s="127" t="s">
        <v>207</v>
      </c>
      <c r="C43" s="128">
        <v>875.69</v>
      </c>
      <c r="D43" s="129">
        <v>5860</v>
      </c>
      <c r="E43" s="130">
        <f t="shared" si="4"/>
        <v>4984.3099999999995</v>
      </c>
      <c r="F43" s="130">
        <f>10101.03+C43</f>
        <v>10976.720000000001</v>
      </c>
      <c r="G43" s="131">
        <v>1000</v>
      </c>
      <c r="H43" s="130">
        <f t="shared" si="3"/>
        <v>-9976.7200000000012</v>
      </c>
      <c r="I43" s="132"/>
      <c r="J43" s="132" t="s">
        <v>123</v>
      </c>
      <c r="K43" s="133"/>
      <c r="L43" s="196"/>
    </row>
    <row r="44" spans="1:12" ht="18" x14ac:dyDescent="0.35">
      <c r="A44" s="98">
        <v>9.9</v>
      </c>
      <c r="B44" s="98" t="s">
        <v>185</v>
      </c>
      <c r="C44" s="126">
        <v>3.59</v>
      </c>
      <c r="D44" s="121">
        <v>3000</v>
      </c>
      <c r="E44" s="102">
        <f t="shared" si="4"/>
        <v>2996.41</v>
      </c>
      <c r="F44" s="102">
        <f>22063.35+C44</f>
        <v>22066.94</v>
      </c>
      <c r="G44" s="103">
        <v>67500</v>
      </c>
      <c r="H44" s="102">
        <f t="shared" si="3"/>
        <v>45433.06</v>
      </c>
      <c r="I44" s="105"/>
      <c r="J44" s="105" t="s">
        <v>123</v>
      </c>
      <c r="K44" s="92"/>
      <c r="L44" s="196"/>
    </row>
    <row r="45" spans="1:12" ht="18" x14ac:dyDescent="0.35">
      <c r="A45" s="193">
        <v>9.1</v>
      </c>
      <c r="B45" s="98" t="s">
        <v>268</v>
      </c>
      <c r="C45" s="100">
        <v>205.9</v>
      </c>
      <c r="D45" s="121">
        <v>1600</v>
      </c>
      <c r="E45" s="102">
        <f>D45-C45</f>
        <v>1394.1</v>
      </c>
      <c r="F45" s="102">
        <f>3216.03+C45</f>
        <v>3421.9300000000003</v>
      </c>
      <c r="G45" s="103">
        <v>0</v>
      </c>
      <c r="H45" s="102">
        <v>-4509.5753232200141</v>
      </c>
      <c r="I45" s="105"/>
      <c r="J45" s="105"/>
      <c r="K45" s="92"/>
      <c r="L45" s="196"/>
    </row>
    <row r="46" spans="1:12" ht="18" x14ac:dyDescent="0.35">
      <c r="A46" s="135">
        <v>9.11</v>
      </c>
      <c r="B46" s="98" t="s">
        <v>208</v>
      </c>
      <c r="C46" s="100">
        <v>1995.19</v>
      </c>
      <c r="D46" s="121">
        <v>5500</v>
      </c>
      <c r="E46" s="102">
        <f t="shared" ref="E46:E53" si="5">D46-C46</f>
        <v>3504.81</v>
      </c>
      <c r="F46" s="102">
        <f>2047.41+C46</f>
        <v>4042.6000000000004</v>
      </c>
      <c r="G46" s="103"/>
      <c r="H46" s="102"/>
      <c r="I46" s="105"/>
      <c r="J46" s="105"/>
      <c r="K46" s="92"/>
      <c r="L46" s="196"/>
    </row>
    <row r="47" spans="1:12" ht="18" x14ac:dyDescent="0.35">
      <c r="A47" s="135">
        <v>9.1199999999999992</v>
      </c>
      <c r="B47" s="98" t="s">
        <v>209</v>
      </c>
      <c r="C47" s="136">
        <v>913</v>
      </c>
      <c r="D47" s="121">
        <v>3000</v>
      </c>
      <c r="E47" s="102">
        <f t="shared" si="5"/>
        <v>2087</v>
      </c>
      <c r="F47" s="102">
        <f>1001.72+C47</f>
        <v>1914.72</v>
      </c>
      <c r="G47" s="103"/>
      <c r="H47" s="102"/>
      <c r="I47" s="105"/>
      <c r="J47" s="105"/>
      <c r="K47" s="92"/>
      <c r="L47" s="196"/>
    </row>
    <row r="48" spans="1:12" ht="18" x14ac:dyDescent="0.35">
      <c r="A48" s="135">
        <v>9.1300000000000008</v>
      </c>
      <c r="B48" s="191" t="s">
        <v>273</v>
      </c>
      <c r="C48" s="136">
        <v>2252.5700000000002</v>
      </c>
      <c r="D48" s="121">
        <v>3000</v>
      </c>
      <c r="E48" s="102"/>
      <c r="F48" s="136">
        <v>2252.5700000000002</v>
      </c>
      <c r="G48" s="103"/>
      <c r="H48" s="102"/>
      <c r="I48" s="105"/>
      <c r="J48" s="105"/>
      <c r="K48" s="92"/>
      <c r="L48" s="196"/>
    </row>
    <row r="49" spans="1:12" ht="18" x14ac:dyDescent="0.35">
      <c r="A49" s="135">
        <v>9.14</v>
      </c>
      <c r="B49" s="98" t="s">
        <v>210</v>
      </c>
      <c r="C49" s="100">
        <v>3000.76</v>
      </c>
      <c r="D49" s="121">
        <v>15000</v>
      </c>
      <c r="E49" s="102">
        <f t="shared" si="5"/>
        <v>11999.24</v>
      </c>
      <c r="F49" s="100">
        <v>3000.76</v>
      </c>
      <c r="G49" s="103"/>
      <c r="H49" s="102"/>
      <c r="I49" s="105"/>
      <c r="J49" s="105"/>
      <c r="K49" s="92"/>
      <c r="L49" s="196"/>
    </row>
    <row r="50" spans="1:12" ht="18" x14ac:dyDescent="0.35">
      <c r="A50" s="135">
        <v>9.15</v>
      </c>
      <c r="B50" s="98" t="s">
        <v>269</v>
      </c>
      <c r="C50" s="100">
        <v>976.29</v>
      </c>
      <c r="D50" s="101">
        <v>5000</v>
      </c>
      <c r="E50" s="102">
        <f t="shared" si="5"/>
        <v>4023.71</v>
      </c>
      <c r="F50" s="100">
        <v>976.29</v>
      </c>
      <c r="G50" s="103"/>
      <c r="H50" s="102"/>
      <c r="I50" s="105"/>
      <c r="J50" s="105"/>
      <c r="K50" s="92"/>
      <c r="L50" s="196"/>
    </row>
    <row r="51" spans="1:12" ht="18" x14ac:dyDescent="0.35">
      <c r="A51" s="135">
        <v>9.16</v>
      </c>
      <c r="B51" s="98" t="s">
        <v>270</v>
      </c>
      <c r="C51" s="100">
        <v>975.65</v>
      </c>
      <c r="D51" s="101">
        <v>3000</v>
      </c>
      <c r="E51" s="102">
        <f t="shared" si="5"/>
        <v>2024.35</v>
      </c>
      <c r="F51" s="100">
        <v>975.65</v>
      </c>
      <c r="G51" s="103"/>
      <c r="H51" s="102"/>
      <c r="I51" s="105"/>
      <c r="J51" s="105"/>
      <c r="K51" s="92"/>
      <c r="L51" s="196"/>
    </row>
    <row r="52" spans="1:12" ht="18" x14ac:dyDescent="0.35">
      <c r="A52" s="135">
        <v>9.17</v>
      </c>
      <c r="B52" s="98" t="s">
        <v>271</v>
      </c>
      <c r="C52" s="100">
        <v>1580.03</v>
      </c>
      <c r="D52" s="101">
        <v>2500</v>
      </c>
      <c r="E52" s="102">
        <f t="shared" si="5"/>
        <v>919.97</v>
      </c>
      <c r="F52" s="100">
        <v>1580.03</v>
      </c>
      <c r="G52" s="103"/>
      <c r="H52" s="102"/>
      <c r="I52" s="105"/>
      <c r="J52" s="105"/>
      <c r="K52" s="92"/>
      <c r="L52" s="196"/>
    </row>
    <row r="53" spans="1:12" ht="18" x14ac:dyDescent="0.35">
      <c r="A53" s="135">
        <v>9.18</v>
      </c>
      <c r="B53" s="98" t="s">
        <v>272</v>
      </c>
      <c r="C53" s="100">
        <v>3990.38</v>
      </c>
      <c r="D53" s="101">
        <v>5000</v>
      </c>
      <c r="E53" s="102">
        <f t="shared" si="5"/>
        <v>1009.6199999999999</v>
      </c>
      <c r="F53" s="100">
        <v>3990.38</v>
      </c>
      <c r="G53" s="103"/>
      <c r="H53" s="102"/>
      <c r="I53" s="105"/>
      <c r="J53" s="105"/>
      <c r="K53" s="92"/>
      <c r="L53" s="196"/>
    </row>
    <row r="54" spans="1:12" s="113" customFormat="1" ht="18" x14ac:dyDescent="0.35">
      <c r="A54" s="90"/>
      <c r="B54" s="90" t="s">
        <v>75</v>
      </c>
      <c r="C54" s="109">
        <f>SUM(C35:C53)</f>
        <v>88107.786370634014</v>
      </c>
      <c r="D54" s="109">
        <f>SUM(D35:D53)</f>
        <v>266454.05000000005</v>
      </c>
      <c r="E54" s="109">
        <f t="shared" si="4"/>
        <v>178346.26362936603</v>
      </c>
      <c r="F54" s="109">
        <f>SUM(F35:F51)</f>
        <v>1011547.1863706339</v>
      </c>
      <c r="G54" s="109">
        <f>SUM(G35:G45)</f>
        <v>564204</v>
      </c>
      <c r="H54" s="109">
        <f>SUM(H35:H45)</f>
        <v>-434749.49169385404</v>
      </c>
      <c r="I54" s="112"/>
      <c r="J54" s="112"/>
      <c r="K54" s="112"/>
      <c r="L54" s="196"/>
    </row>
    <row r="55" spans="1:12" ht="18" x14ac:dyDescent="0.35">
      <c r="A55" s="90" t="s">
        <v>34</v>
      </c>
      <c r="B55" s="90" t="s">
        <v>35</v>
      </c>
      <c r="C55" s="114"/>
      <c r="D55" s="114"/>
      <c r="E55" s="102">
        <f t="shared" si="4"/>
        <v>0</v>
      </c>
      <c r="F55" s="102">
        <v>0</v>
      </c>
      <c r="G55" s="103">
        <v>0</v>
      </c>
      <c r="H55" s="102">
        <f t="shared" si="3"/>
        <v>0</v>
      </c>
      <c r="I55" s="92"/>
      <c r="J55" s="92"/>
      <c r="K55" s="92"/>
    </row>
    <row r="56" spans="1:12" ht="18" x14ac:dyDescent="0.35">
      <c r="A56" s="98">
        <v>10.1</v>
      </c>
      <c r="B56" s="98" t="s">
        <v>186</v>
      </c>
      <c r="C56" s="100">
        <v>3188.71</v>
      </c>
      <c r="D56" s="121">
        <v>25000</v>
      </c>
      <c r="E56" s="102">
        <f t="shared" si="4"/>
        <v>21811.29</v>
      </c>
      <c r="F56" s="102">
        <f>6686.33+C56</f>
        <v>9875.0400000000009</v>
      </c>
      <c r="G56" s="103">
        <v>5000</v>
      </c>
      <c r="H56" s="102">
        <f t="shared" si="3"/>
        <v>-4875.0400000000009</v>
      </c>
      <c r="I56" s="105"/>
      <c r="J56" s="105" t="s">
        <v>123</v>
      </c>
      <c r="K56" s="92"/>
      <c r="L56" s="196"/>
    </row>
    <row r="57" spans="1:12" ht="54" x14ac:dyDescent="0.35">
      <c r="A57" s="98">
        <v>10.199999999999999</v>
      </c>
      <c r="B57" s="98" t="s">
        <v>211</v>
      </c>
      <c r="C57" s="100">
        <v>0</v>
      </c>
      <c r="D57" s="121">
        <v>2000</v>
      </c>
      <c r="E57" s="102">
        <f t="shared" si="4"/>
        <v>2000</v>
      </c>
      <c r="F57" s="102">
        <f>14531.1+C57</f>
        <v>14531.1</v>
      </c>
      <c r="G57" s="103">
        <v>15000</v>
      </c>
      <c r="H57" s="102">
        <f t="shared" si="3"/>
        <v>468.89999999999964</v>
      </c>
      <c r="I57" s="105" t="s">
        <v>125</v>
      </c>
      <c r="J57" s="105" t="s">
        <v>123</v>
      </c>
      <c r="K57" s="92"/>
      <c r="L57" s="196"/>
    </row>
    <row r="58" spans="1:12" ht="32.450000000000003" customHeight="1" x14ac:dyDescent="0.35">
      <c r="A58" s="98">
        <v>10.3</v>
      </c>
      <c r="B58" s="98" t="s">
        <v>212</v>
      </c>
      <c r="C58" s="107">
        <f>0</f>
        <v>0</v>
      </c>
      <c r="D58" s="121">
        <v>5000</v>
      </c>
      <c r="E58" s="102">
        <f t="shared" si="4"/>
        <v>5000</v>
      </c>
      <c r="F58" s="102">
        <f>1654.73+C58</f>
        <v>1654.73</v>
      </c>
      <c r="G58" s="103">
        <v>5000</v>
      </c>
      <c r="H58" s="102">
        <f t="shared" si="3"/>
        <v>3345.27</v>
      </c>
      <c r="I58" s="105" t="s">
        <v>125</v>
      </c>
      <c r="J58" s="105" t="s">
        <v>123</v>
      </c>
      <c r="K58" s="92"/>
      <c r="L58" s="196"/>
    </row>
    <row r="59" spans="1:12" ht="72" x14ac:dyDescent="0.35">
      <c r="A59" s="89">
        <v>10.4</v>
      </c>
      <c r="B59" s="98" t="s">
        <v>213</v>
      </c>
      <c r="C59" s="200"/>
      <c r="D59" s="121">
        <v>30000</v>
      </c>
      <c r="E59" s="102">
        <f t="shared" si="4"/>
        <v>30000</v>
      </c>
      <c r="F59" s="102">
        <f>30012.42+C59</f>
        <v>30012.42</v>
      </c>
      <c r="G59" s="103">
        <v>15000</v>
      </c>
      <c r="H59" s="102">
        <f t="shared" si="3"/>
        <v>-15012.419999999998</v>
      </c>
      <c r="I59" s="105"/>
      <c r="J59" s="105" t="s">
        <v>123</v>
      </c>
      <c r="K59" s="92"/>
      <c r="L59" s="196"/>
    </row>
    <row r="60" spans="1:12" ht="36" x14ac:dyDescent="0.35">
      <c r="A60" s="98">
        <v>10.5</v>
      </c>
      <c r="B60" s="98" t="s">
        <v>214</v>
      </c>
      <c r="C60" s="107">
        <f>0</f>
        <v>0</v>
      </c>
      <c r="D60" s="121">
        <v>150000</v>
      </c>
      <c r="E60" s="102">
        <f t="shared" si="4"/>
        <v>150000</v>
      </c>
      <c r="F60" s="102">
        <f>15757.2945689655+C60</f>
        <v>15757.294568965501</v>
      </c>
      <c r="G60" s="103">
        <v>10000</v>
      </c>
      <c r="H60" s="102">
        <f t="shared" si="3"/>
        <v>-5757.2945689655007</v>
      </c>
      <c r="I60" s="105"/>
      <c r="J60" s="105" t="s">
        <v>123</v>
      </c>
      <c r="K60" s="92"/>
      <c r="L60" s="196"/>
    </row>
    <row r="61" spans="1:12" ht="32.450000000000003" customHeight="1" x14ac:dyDescent="0.35">
      <c r="A61" s="98">
        <v>10.6</v>
      </c>
      <c r="B61" s="98" t="s">
        <v>187</v>
      </c>
      <c r="C61" s="107"/>
      <c r="D61" s="121">
        <v>25000</v>
      </c>
      <c r="E61" s="102">
        <f t="shared" si="4"/>
        <v>25000</v>
      </c>
      <c r="F61" s="102">
        <f>9739.87+C61</f>
        <v>9739.8700000000008</v>
      </c>
      <c r="G61" s="103">
        <v>20000</v>
      </c>
      <c r="H61" s="102">
        <f t="shared" si="3"/>
        <v>10260.129999999999</v>
      </c>
      <c r="I61" s="105" t="s">
        <v>125</v>
      </c>
      <c r="J61" s="105" t="s">
        <v>123</v>
      </c>
      <c r="K61" s="92"/>
      <c r="L61" s="196"/>
    </row>
    <row r="62" spans="1:12" ht="36" x14ac:dyDescent="0.35">
      <c r="A62" s="98">
        <v>10.7</v>
      </c>
      <c r="B62" s="98" t="s">
        <v>188</v>
      </c>
      <c r="C62" s="107"/>
      <c r="D62" s="121">
        <v>2500</v>
      </c>
      <c r="E62" s="102">
        <f t="shared" si="4"/>
        <v>2500</v>
      </c>
      <c r="F62" s="102">
        <v>739.28</v>
      </c>
      <c r="G62" s="103">
        <v>150000</v>
      </c>
      <c r="H62" s="102">
        <f t="shared" si="3"/>
        <v>149260.72</v>
      </c>
      <c r="I62" s="105" t="s">
        <v>125</v>
      </c>
      <c r="J62" s="105" t="s">
        <v>123</v>
      </c>
      <c r="K62" s="92"/>
      <c r="L62" s="196"/>
    </row>
    <row r="63" spans="1:12" ht="32.450000000000003" customHeight="1" x14ac:dyDescent="0.35">
      <c r="A63" s="98">
        <v>10.8</v>
      </c>
      <c r="B63" s="98" t="s">
        <v>189</v>
      </c>
      <c r="C63" s="107">
        <v>0</v>
      </c>
      <c r="D63" s="121">
        <v>27000</v>
      </c>
      <c r="E63" s="102">
        <f t="shared" si="4"/>
        <v>27000</v>
      </c>
      <c r="F63" s="102">
        <f>C63</f>
        <v>0</v>
      </c>
      <c r="G63" s="103">
        <v>15000</v>
      </c>
      <c r="H63" s="102">
        <f t="shared" si="3"/>
        <v>15000</v>
      </c>
      <c r="I63" s="105" t="s">
        <v>125</v>
      </c>
      <c r="J63" s="105" t="s">
        <v>123</v>
      </c>
      <c r="K63" s="92"/>
      <c r="L63" s="196"/>
    </row>
    <row r="64" spans="1:12" ht="54" x14ac:dyDescent="0.35">
      <c r="A64" s="98">
        <v>10.9</v>
      </c>
      <c r="B64" s="98" t="s">
        <v>215</v>
      </c>
      <c r="C64" s="107"/>
      <c r="D64" s="121">
        <v>16560</v>
      </c>
      <c r="E64" s="102">
        <f t="shared" si="4"/>
        <v>16560</v>
      </c>
      <c r="F64" s="102">
        <f>4174.96+C64</f>
        <v>4174.96</v>
      </c>
      <c r="G64" s="103">
        <v>40000</v>
      </c>
      <c r="H64" s="102">
        <f t="shared" si="3"/>
        <v>35825.040000000001</v>
      </c>
      <c r="I64" s="105" t="s">
        <v>125</v>
      </c>
      <c r="J64" s="105" t="s">
        <v>123</v>
      </c>
      <c r="K64" s="92"/>
      <c r="L64" s="196"/>
    </row>
    <row r="65" spans="1:12" ht="36" x14ac:dyDescent="0.35">
      <c r="A65" s="137">
        <v>10.1</v>
      </c>
      <c r="B65" s="98" t="s">
        <v>216</v>
      </c>
      <c r="C65" s="107">
        <f>41698.56-2486.44</f>
        <v>39212.119999999995</v>
      </c>
      <c r="D65" s="121">
        <v>89000</v>
      </c>
      <c r="E65" s="102">
        <f t="shared" si="4"/>
        <v>49787.880000000005</v>
      </c>
      <c r="F65" s="102">
        <f>29566.91+C65</f>
        <v>68779.03</v>
      </c>
      <c r="G65" s="103">
        <v>15000</v>
      </c>
      <c r="H65" s="102">
        <f t="shared" si="3"/>
        <v>-53779.03</v>
      </c>
      <c r="I65" s="105"/>
      <c r="J65" s="105" t="s">
        <v>123</v>
      </c>
      <c r="K65" s="92"/>
      <c r="L65" s="196"/>
    </row>
    <row r="66" spans="1:12" ht="54" x14ac:dyDescent="0.35">
      <c r="A66" s="98">
        <v>10.11</v>
      </c>
      <c r="B66" s="98" t="s">
        <v>217</v>
      </c>
      <c r="C66" s="200"/>
      <c r="D66" s="121">
        <v>15000</v>
      </c>
      <c r="E66" s="102">
        <f t="shared" si="4"/>
        <v>15000</v>
      </c>
      <c r="F66" s="107">
        <v>10000</v>
      </c>
      <c r="G66" s="103"/>
      <c r="H66" s="102"/>
      <c r="I66" s="105"/>
      <c r="J66" s="105"/>
      <c r="K66" s="92"/>
      <c r="L66" s="196"/>
    </row>
    <row r="67" spans="1:12" ht="36" x14ac:dyDescent="0.35">
      <c r="A67" s="137">
        <v>10.119999999999999</v>
      </c>
      <c r="B67" s="98" t="s">
        <v>218</v>
      </c>
      <c r="C67" s="200"/>
      <c r="D67" s="121">
        <v>35000</v>
      </c>
      <c r="E67" s="102">
        <f t="shared" si="4"/>
        <v>35000</v>
      </c>
      <c r="F67" s="102">
        <f>C67</f>
        <v>0</v>
      </c>
      <c r="G67" s="103"/>
      <c r="H67" s="102"/>
      <c r="I67" s="105"/>
      <c r="J67" s="105"/>
      <c r="K67" s="92"/>
      <c r="L67" s="196"/>
    </row>
    <row r="68" spans="1:12" ht="36" x14ac:dyDescent="0.35">
      <c r="A68" s="137">
        <v>10.130000000000001</v>
      </c>
      <c r="B68" s="98" t="s">
        <v>219</v>
      </c>
      <c r="C68" s="107">
        <v>1332.91</v>
      </c>
      <c r="D68" s="121">
        <v>20000</v>
      </c>
      <c r="E68" s="102">
        <f t="shared" si="4"/>
        <v>18667.09</v>
      </c>
      <c r="F68" s="102">
        <f>11018.25+C68</f>
        <v>12351.16</v>
      </c>
      <c r="G68" s="103"/>
      <c r="H68" s="102"/>
      <c r="I68" s="105"/>
      <c r="J68" s="105"/>
      <c r="K68" s="92"/>
      <c r="L68" s="196"/>
    </row>
    <row r="69" spans="1:12" ht="36" x14ac:dyDescent="0.35">
      <c r="A69" s="137">
        <v>10.14</v>
      </c>
      <c r="B69" s="98" t="s">
        <v>190</v>
      </c>
      <c r="C69" s="107">
        <v>7197.08</v>
      </c>
      <c r="D69" s="121">
        <v>10000</v>
      </c>
      <c r="E69" s="102">
        <f t="shared" si="4"/>
        <v>2802.92</v>
      </c>
      <c r="F69" s="102">
        <f>C69</f>
        <v>7197.08</v>
      </c>
      <c r="G69" s="103"/>
      <c r="H69" s="102"/>
      <c r="I69" s="105"/>
      <c r="J69" s="105"/>
      <c r="K69" s="92"/>
      <c r="L69" s="196"/>
    </row>
    <row r="70" spans="1:12" ht="36" x14ac:dyDescent="0.35">
      <c r="A70" s="137">
        <v>10.15</v>
      </c>
      <c r="B70" s="98" t="s">
        <v>220</v>
      </c>
      <c r="C70" s="200"/>
      <c r="D70" s="121">
        <v>5000</v>
      </c>
      <c r="E70" s="102">
        <f t="shared" si="4"/>
        <v>5000</v>
      </c>
      <c r="F70" s="102">
        <f>C70</f>
        <v>0</v>
      </c>
      <c r="G70" s="103"/>
      <c r="H70" s="102"/>
      <c r="I70" s="105"/>
      <c r="J70" s="105"/>
      <c r="K70" s="92"/>
      <c r="L70" s="196"/>
    </row>
    <row r="71" spans="1:12" ht="36" x14ac:dyDescent="0.35">
      <c r="A71" s="137">
        <v>10.16</v>
      </c>
      <c r="B71" s="98" t="s">
        <v>274</v>
      </c>
      <c r="C71" s="200"/>
      <c r="D71" s="121">
        <v>20000</v>
      </c>
      <c r="E71" s="102">
        <f t="shared" si="4"/>
        <v>20000</v>
      </c>
      <c r="F71" s="102">
        <f>C71</f>
        <v>0</v>
      </c>
      <c r="G71" s="103"/>
      <c r="H71" s="102"/>
      <c r="I71" s="105"/>
      <c r="J71" s="105"/>
      <c r="K71" s="92"/>
      <c r="L71" s="196"/>
    </row>
    <row r="72" spans="1:12" ht="36" x14ac:dyDescent="0.35">
      <c r="A72" s="137">
        <v>10.17</v>
      </c>
      <c r="B72" s="98" t="s">
        <v>275</v>
      </c>
      <c r="C72" s="107"/>
      <c r="D72" s="121">
        <v>5000</v>
      </c>
      <c r="E72" s="102">
        <f t="shared" si="4"/>
        <v>5000</v>
      </c>
      <c r="F72" s="102">
        <f>C72</f>
        <v>0</v>
      </c>
      <c r="G72" s="103"/>
      <c r="H72" s="102"/>
      <c r="I72" s="105"/>
      <c r="J72" s="105"/>
      <c r="K72" s="92"/>
      <c r="L72" s="196"/>
    </row>
    <row r="73" spans="1:12" ht="18" x14ac:dyDescent="0.35">
      <c r="A73" s="137">
        <v>10.18</v>
      </c>
      <c r="B73" s="98" t="s">
        <v>221</v>
      </c>
      <c r="C73" s="138"/>
      <c r="D73" s="121">
        <v>7000</v>
      </c>
      <c r="E73" s="102">
        <f t="shared" si="4"/>
        <v>7000</v>
      </c>
      <c r="F73" s="102">
        <f>C73</f>
        <v>0</v>
      </c>
      <c r="G73" s="103"/>
      <c r="H73" s="102"/>
      <c r="I73" s="105"/>
      <c r="J73" s="105"/>
      <c r="K73" s="92"/>
      <c r="L73" s="196"/>
    </row>
    <row r="74" spans="1:12" s="113" customFormat="1" ht="18" x14ac:dyDescent="0.35">
      <c r="A74" s="139"/>
      <c r="B74" s="90" t="s">
        <v>75</v>
      </c>
      <c r="C74" s="109">
        <f>SUM(C55:C73)</f>
        <v>50930.82</v>
      </c>
      <c r="D74" s="109">
        <f>SUM(D55:D73)</f>
        <v>489060</v>
      </c>
      <c r="E74" s="109">
        <f t="shared" si="4"/>
        <v>438129.18</v>
      </c>
      <c r="F74" s="109">
        <f>SUM(F55:F73)</f>
        <v>184811.96456896549</v>
      </c>
      <c r="G74" s="109">
        <f>SUM(G55:G65)</f>
        <v>290000</v>
      </c>
      <c r="H74" s="109">
        <f>SUM(H55:H65)</f>
        <v>134736.2754310345</v>
      </c>
      <c r="I74" s="112"/>
      <c r="J74" s="112"/>
      <c r="K74" s="112"/>
      <c r="L74" s="196"/>
    </row>
    <row r="75" spans="1:12" ht="18" x14ac:dyDescent="0.35">
      <c r="A75" s="90" t="s">
        <v>36</v>
      </c>
      <c r="B75" s="90" t="s">
        <v>76</v>
      </c>
      <c r="C75" s="114"/>
      <c r="D75" s="114"/>
      <c r="E75" s="102">
        <f t="shared" si="4"/>
        <v>0</v>
      </c>
      <c r="F75" s="102">
        <v>0</v>
      </c>
      <c r="G75" s="103">
        <v>0</v>
      </c>
      <c r="H75" s="102">
        <f t="shared" si="3"/>
        <v>0</v>
      </c>
      <c r="I75" s="92"/>
      <c r="J75" s="92"/>
      <c r="K75" s="92"/>
      <c r="L75" s="196"/>
    </row>
    <row r="76" spans="1:12" ht="36" x14ac:dyDescent="0.35">
      <c r="A76" s="98">
        <v>11.1</v>
      </c>
      <c r="B76" s="98" t="s">
        <v>191</v>
      </c>
      <c r="C76" s="140">
        <v>5587.52</v>
      </c>
      <c r="D76" s="101">
        <v>8000</v>
      </c>
      <c r="E76" s="102">
        <f t="shared" si="4"/>
        <v>2412.4799999999996</v>
      </c>
      <c r="F76" s="102">
        <f>21457.55+C76</f>
        <v>27045.07</v>
      </c>
      <c r="G76" s="103">
        <v>12000</v>
      </c>
      <c r="H76" s="102">
        <f t="shared" si="3"/>
        <v>-15045.07</v>
      </c>
      <c r="I76" s="104" t="s">
        <v>125</v>
      </c>
      <c r="J76" s="105" t="s">
        <v>123</v>
      </c>
      <c r="K76" s="92"/>
      <c r="L76" s="196"/>
    </row>
    <row r="77" spans="1:12" ht="18" x14ac:dyDescent="0.35">
      <c r="A77" s="98">
        <v>11.2</v>
      </c>
      <c r="B77" s="98" t="s">
        <v>169</v>
      </c>
      <c r="C77" s="140">
        <v>11065.71</v>
      </c>
      <c r="D77" s="101">
        <v>15000</v>
      </c>
      <c r="E77" s="102">
        <f t="shared" si="4"/>
        <v>3934.2900000000009</v>
      </c>
      <c r="F77" s="102">
        <f>21295.21+C77</f>
        <v>32360.92</v>
      </c>
      <c r="G77" s="103">
        <v>10000</v>
      </c>
      <c r="H77" s="102">
        <f t="shared" si="3"/>
        <v>-22360.92</v>
      </c>
      <c r="I77" s="105" t="s">
        <v>125</v>
      </c>
      <c r="J77" s="105" t="s">
        <v>123</v>
      </c>
      <c r="K77" s="92"/>
      <c r="L77" s="196"/>
    </row>
    <row r="78" spans="1:12" s="113" customFormat="1" ht="18" x14ac:dyDescent="0.35">
      <c r="A78" s="141"/>
      <c r="B78" s="90" t="s">
        <v>75</v>
      </c>
      <c r="C78" s="114">
        <f>SUM(C76:C77)</f>
        <v>16653.23</v>
      </c>
      <c r="D78" s="114">
        <f>SUM(D76:D77)</f>
        <v>23000</v>
      </c>
      <c r="E78" s="109">
        <f t="shared" si="4"/>
        <v>6346.77</v>
      </c>
      <c r="F78" s="114">
        <f>SUM(F76:F77)</f>
        <v>59405.99</v>
      </c>
      <c r="G78" s="114">
        <f>SUM(G76:G77)</f>
        <v>22000</v>
      </c>
      <c r="H78" s="114">
        <f>SUM(H76:H77)</f>
        <v>-37405.99</v>
      </c>
      <c r="I78" s="142"/>
      <c r="J78" s="142"/>
      <c r="K78" s="112"/>
      <c r="L78" s="196"/>
    </row>
    <row r="79" spans="1:12" ht="18" x14ac:dyDescent="0.35">
      <c r="A79" s="143"/>
      <c r="B79" s="99" t="s">
        <v>172</v>
      </c>
      <c r="C79" s="144"/>
      <c r="D79" s="101">
        <v>0</v>
      </c>
      <c r="E79" s="102">
        <f>D79-C79</f>
        <v>0</v>
      </c>
      <c r="F79" s="102">
        <f>709579.989917347+399371.81</f>
        <v>1108951.799917347</v>
      </c>
      <c r="G79" s="103">
        <v>0</v>
      </c>
      <c r="H79" s="102">
        <f t="shared" si="3"/>
        <v>-1108951.799917347</v>
      </c>
      <c r="I79" s="105" t="s">
        <v>124</v>
      </c>
      <c r="J79" s="105"/>
      <c r="K79" s="92"/>
      <c r="L79" s="196"/>
    </row>
    <row r="80" spans="1:12" s="113" customFormat="1" ht="18" x14ac:dyDescent="0.35">
      <c r="A80" s="90"/>
      <c r="B80" s="90" t="s">
        <v>75</v>
      </c>
      <c r="C80" s="144">
        <f>C79</f>
        <v>0</v>
      </c>
      <c r="D80" s="114">
        <f>SUM(D79:D79)</f>
        <v>0</v>
      </c>
      <c r="E80" s="102">
        <f>D80-C80</f>
        <v>0</v>
      </c>
      <c r="F80" s="114">
        <f>SUM(F79:F79)</f>
        <v>1108951.799917347</v>
      </c>
      <c r="G80" s="114">
        <f>SUM(G79:G79)</f>
        <v>0</v>
      </c>
      <c r="H80" s="114">
        <f>SUM(H79:H79)</f>
        <v>-1108951.799917347</v>
      </c>
      <c r="I80" s="114"/>
      <c r="J80" s="114"/>
      <c r="K80" s="114"/>
      <c r="L80" s="196"/>
    </row>
    <row r="81" spans="1:12" s="113" customFormat="1" ht="18" x14ac:dyDescent="0.35">
      <c r="A81" s="90"/>
      <c r="B81" s="90" t="s">
        <v>67</v>
      </c>
      <c r="C81" s="114">
        <f>C80+C74+C54+C34+C31+C28+C25+C21+C18+C15+C10+C78</f>
        <v>191681.34637063407</v>
      </c>
      <c r="D81" s="114">
        <f>D80+D74+D54+D34+D31+D28+D25+D21+D18+D15+D10+D78</f>
        <v>1418714.05</v>
      </c>
      <c r="E81" s="109">
        <f t="shared" si="4"/>
        <v>1227032.7036293659</v>
      </c>
      <c r="F81" s="114">
        <f>F80+F74+F54+F34+F31+F28+F25+F21+F18+F15+F10+F78</f>
        <v>2541228.4173117671</v>
      </c>
      <c r="G81" s="114">
        <f>G80+G74+G54+G34+G31+G28+G25+G21+G18+G15+G10+G78</f>
        <v>1008130</v>
      </c>
      <c r="H81" s="114">
        <f>H80+H74+H54+H34+H31+H28+H25+H21+H18+H15+H10+H78</f>
        <v>-1490956.4826349872</v>
      </c>
      <c r="I81" s="114"/>
      <c r="J81" s="114"/>
      <c r="K81" s="114"/>
      <c r="L81" s="196"/>
    </row>
    <row r="82" spans="1:12" x14ac:dyDescent="0.3">
      <c r="E82" s="124"/>
      <c r="G82" s="124"/>
      <c r="H82" s="124"/>
    </row>
    <row r="83" spans="1:12" x14ac:dyDescent="0.3">
      <c r="E83" s="117"/>
    </row>
    <row r="84" spans="1:12" x14ac:dyDescent="0.3">
      <c r="E84" s="117"/>
      <c r="F84" s="124"/>
    </row>
    <row r="85" spans="1:12" x14ac:dyDescent="0.3">
      <c r="E85" s="117"/>
    </row>
    <row r="86" spans="1:12" x14ac:dyDescent="0.3">
      <c r="E86" s="117"/>
    </row>
    <row r="87" spans="1:12" x14ac:dyDescent="0.3">
      <c r="E87" s="117"/>
    </row>
    <row r="88" spans="1:12" x14ac:dyDescent="0.3">
      <c r="E88" s="117"/>
    </row>
    <row r="89" spans="1:12" x14ac:dyDescent="0.3">
      <c r="E89" s="117"/>
    </row>
  </sheetData>
  <autoFilter ref="A6:I81" xr:uid="{00000000-0009-0000-0000-000001000000}"/>
  <mergeCells count="8">
    <mergeCell ref="C4:E4"/>
    <mergeCell ref="A1:K1"/>
    <mergeCell ref="A2:K2"/>
    <mergeCell ref="I5:I6"/>
    <mergeCell ref="J5:J6"/>
    <mergeCell ref="K5:K6"/>
    <mergeCell ref="A3:K3"/>
    <mergeCell ref="F4:H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autoPageBreaks="0"/>
  </sheetPr>
  <dimension ref="A1:U41"/>
  <sheetViews>
    <sheetView showGridLines="0" topLeftCell="A22" workbookViewId="0">
      <selection sqref="A1:R1"/>
    </sheetView>
  </sheetViews>
  <sheetFormatPr defaultColWidth="6.85546875" defaultRowHeight="12.75" customHeight="1" x14ac:dyDescent="0.25"/>
  <cols>
    <col min="1" max="1" width="1.140625" style="164" customWidth="1"/>
    <col min="2" max="2" width="2.28515625" style="164" customWidth="1"/>
    <col min="3" max="3" width="8" style="164" customWidth="1"/>
    <col min="4" max="4" width="2.28515625" style="164" customWidth="1"/>
    <col min="5" max="5" width="1.140625" style="164" customWidth="1"/>
    <col min="6" max="6" width="14.85546875" style="164" customWidth="1"/>
    <col min="7" max="7" width="3.42578125" style="164" customWidth="1"/>
    <col min="8" max="8" width="2.28515625" style="164" customWidth="1"/>
    <col min="9" max="9" width="1.140625" style="164" customWidth="1"/>
    <col min="10" max="10" width="14.5703125" style="164" customWidth="1"/>
    <col min="11" max="11" width="17.28515625" style="164" customWidth="1"/>
    <col min="12" max="12" width="1.140625" style="164" customWidth="1"/>
    <col min="13" max="13" width="4.140625" style="164" customWidth="1"/>
    <col min="14" max="14" width="2.7109375" style="164" customWidth="1"/>
    <col min="15" max="15" width="2.28515625" style="164" customWidth="1"/>
    <col min="16" max="16" width="3.42578125" style="164" customWidth="1"/>
    <col min="17" max="17" width="20.140625" style="164" customWidth="1"/>
    <col min="18" max="18" width="1.5703125" style="164" customWidth="1"/>
    <col min="19" max="256" width="6.85546875" style="164"/>
    <col min="257" max="257" width="1.140625" style="164" customWidth="1"/>
    <col min="258" max="258" width="2.28515625" style="164" customWidth="1"/>
    <col min="259" max="259" width="8" style="164" customWidth="1"/>
    <col min="260" max="260" width="2.28515625" style="164" customWidth="1"/>
    <col min="261" max="261" width="1.140625" style="164" customWidth="1"/>
    <col min="262" max="262" width="14.85546875" style="164" customWidth="1"/>
    <col min="263" max="263" width="3.42578125" style="164" customWidth="1"/>
    <col min="264" max="264" width="2.28515625" style="164" customWidth="1"/>
    <col min="265" max="265" width="1.140625" style="164" customWidth="1"/>
    <col min="266" max="266" width="14.5703125" style="164" customWidth="1"/>
    <col min="267" max="267" width="10.28515625" style="164" customWidth="1"/>
    <col min="268" max="268" width="1.140625" style="164" customWidth="1"/>
    <col min="269" max="269" width="4.140625" style="164" customWidth="1"/>
    <col min="270" max="270" width="2.7109375" style="164" customWidth="1"/>
    <col min="271" max="271" width="2.28515625" style="164" customWidth="1"/>
    <col min="272" max="272" width="3.42578125" style="164" customWidth="1"/>
    <col min="273" max="273" width="20.140625" style="164" customWidth="1"/>
    <col min="274" max="274" width="1.5703125" style="164" customWidth="1"/>
    <col min="275" max="512" width="6.85546875" style="164"/>
    <col min="513" max="513" width="1.140625" style="164" customWidth="1"/>
    <col min="514" max="514" width="2.28515625" style="164" customWidth="1"/>
    <col min="515" max="515" width="8" style="164" customWidth="1"/>
    <col min="516" max="516" width="2.28515625" style="164" customWidth="1"/>
    <col min="517" max="517" width="1.140625" style="164" customWidth="1"/>
    <col min="518" max="518" width="14.85546875" style="164" customWidth="1"/>
    <col min="519" max="519" width="3.42578125" style="164" customWidth="1"/>
    <col min="520" max="520" width="2.28515625" style="164" customWidth="1"/>
    <col min="521" max="521" width="1.140625" style="164" customWidth="1"/>
    <col min="522" max="522" width="14.5703125" style="164" customWidth="1"/>
    <col min="523" max="523" width="10.28515625" style="164" customWidth="1"/>
    <col min="524" max="524" width="1.140625" style="164" customWidth="1"/>
    <col min="525" max="525" width="4.140625" style="164" customWidth="1"/>
    <col min="526" max="526" width="2.7109375" style="164" customWidth="1"/>
    <col min="527" max="527" width="2.28515625" style="164" customWidth="1"/>
    <col min="528" max="528" width="3.42578125" style="164" customWidth="1"/>
    <col min="529" max="529" width="20.140625" style="164" customWidth="1"/>
    <col min="530" max="530" width="1.5703125" style="164" customWidth="1"/>
    <col min="531" max="768" width="6.85546875" style="164"/>
    <col min="769" max="769" width="1.140625" style="164" customWidth="1"/>
    <col min="770" max="770" width="2.28515625" style="164" customWidth="1"/>
    <col min="771" max="771" width="8" style="164" customWidth="1"/>
    <col min="772" max="772" width="2.28515625" style="164" customWidth="1"/>
    <col min="773" max="773" width="1.140625" style="164" customWidth="1"/>
    <col min="774" max="774" width="14.85546875" style="164" customWidth="1"/>
    <col min="775" max="775" width="3.42578125" style="164" customWidth="1"/>
    <col min="776" max="776" width="2.28515625" style="164" customWidth="1"/>
    <col min="777" max="777" width="1.140625" style="164" customWidth="1"/>
    <col min="778" max="778" width="14.5703125" style="164" customWidth="1"/>
    <col min="779" max="779" width="10.28515625" style="164" customWidth="1"/>
    <col min="780" max="780" width="1.140625" style="164" customWidth="1"/>
    <col min="781" max="781" width="4.140625" style="164" customWidth="1"/>
    <col min="782" max="782" width="2.7109375" style="164" customWidth="1"/>
    <col min="783" max="783" width="2.28515625" style="164" customWidth="1"/>
    <col min="784" max="784" width="3.42578125" style="164" customWidth="1"/>
    <col min="785" max="785" width="20.140625" style="164" customWidth="1"/>
    <col min="786" max="786" width="1.5703125" style="164" customWidth="1"/>
    <col min="787" max="1024" width="6.85546875" style="164"/>
    <col min="1025" max="1025" width="1.140625" style="164" customWidth="1"/>
    <col min="1026" max="1026" width="2.28515625" style="164" customWidth="1"/>
    <col min="1027" max="1027" width="8" style="164" customWidth="1"/>
    <col min="1028" max="1028" width="2.28515625" style="164" customWidth="1"/>
    <col min="1029" max="1029" width="1.140625" style="164" customWidth="1"/>
    <col min="1030" max="1030" width="14.85546875" style="164" customWidth="1"/>
    <col min="1031" max="1031" width="3.42578125" style="164" customWidth="1"/>
    <col min="1032" max="1032" width="2.28515625" style="164" customWidth="1"/>
    <col min="1033" max="1033" width="1.140625" style="164" customWidth="1"/>
    <col min="1034" max="1034" width="14.5703125" style="164" customWidth="1"/>
    <col min="1035" max="1035" width="10.28515625" style="164" customWidth="1"/>
    <col min="1036" max="1036" width="1.140625" style="164" customWidth="1"/>
    <col min="1037" max="1037" width="4.140625" style="164" customWidth="1"/>
    <col min="1038" max="1038" width="2.7109375" style="164" customWidth="1"/>
    <col min="1039" max="1039" width="2.28515625" style="164" customWidth="1"/>
    <col min="1040" max="1040" width="3.42578125" style="164" customWidth="1"/>
    <col min="1041" max="1041" width="20.140625" style="164" customWidth="1"/>
    <col min="1042" max="1042" width="1.5703125" style="164" customWidth="1"/>
    <col min="1043" max="1280" width="6.85546875" style="164"/>
    <col min="1281" max="1281" width="1.140625" style="164" customWidth="1"/>
    <col min="1282" max="1282" width="2.28515625" style="164" customWidth="1"/>
    <col min="1283" max="1283" width="8" style="164" customWidth="1"/>
    <col min="1284" max="1284" width="2.28515625" style="164" customWidth="1"/>
    <col min="1285" max="1285" width="1.140625" style="164" customWidth="1"/>
    <col min="1286" max="1286" width="14.85546875" style="164" customWidth="1"/>
    <col min="1287" max="1287" width="3.42578125" style="164" customWidth="1"/>
    <col min="1288" max="1288" width="2.28515625" style="164" customWidth="1"/>
    <col min="1289" max="1289" width="1.140625" style="164" customWidth="1"/>
    <col min="1290" max="1290" width="14.5703125" style="164" customWidth="1"/>
    <col min="1291" max="1291" width="10.28515625" style="164" customWidth="1"/>
    <col min="1292" max="1292" width="1.140625" style="164" customWidth="1"/>
    <col min="1293" max="1293" width="4.140625" style="164" customWidth="1"/>
    <col min="1294" max="1294" width="2.7109375" style="164" customWidth="1"/>
    <col min="1295" max="1295" width="2.28515625" style="164" customWidth="1"/>
    <col min="1296" max="1296" width="3.42578125" style="164" customWidth="1"/>
    <col min="1297" max="1297" width="20.140625" style="164" customWidth="1"/>
    <col min="1298" max="1298" width="1.5703125" style="164" customWidth="1"/>
    <col min="1299" max="1536" width="6.85546875" style="164"/>
    <col min="1537" max="1537" width="1.140625" style="164" customWidth="1"/>
    <col min="1538" max="1538" width="2.28515625" style="164" customWidth="1"/>
    <col min="1539" max="1539" width="8" style="164" customWidth="1"/>
    <col min="1540" max="1540" width="2.28515625" style="164" customWidth="1"/>
    <col min="1541" max="1541" width="1.140625" style="164" customWidth="1"/>
    <col min="1542" max="1542" width="14.85546875" style="164" customWidth="1"/>
    <col min="1543" max="1543" width="3.42578125" style="164" customWidth="1"/>
    <col min="1544" max="1544" width="2.28515625" style="164" customWidth="1"/>
    <col min="1545" max="1545" width="1.140625" style="164" customWidth="1"/>
    <col min="1546" max="1546" width="14.5703125" style="164" customWidth="1"/>
    <col min="1547" max="1547" width="10.28515625" style="164" customWidth="1"/>
    <col min="1548" max="1548" width="1.140625" style="164" customWidth="1"/>
    <col min="1549" max="1549" width="4.140625" style="164" customWidth="1"/>
    <col min="1550" max="1550" width="2.7109375" style="164" customWidth="1"/>
    <col min="1551" max="1551" width="2.28515625" style="164" customWidth="1"/>
    <col min="1552" max="1552" width="3.42578125" style="164" customWidth="1"/>
    <col min="1553" max="1553" width="20.140625" style="164" customWidth="1"/>
    <col min="1554" max="1554" width="1.5703125" style="164" customWidth="1"/>
    <col min="1555" max="1792" width="6.85546875" style="164"/>
    <col min="1793" max="1793" width="1.140625" style="164" customWidth="1"/>
    <col min="1794" max="1794" width="2.28515625" style="164" customWidth="1"/>
    <col min="1795" max="1795" width="8" style="164" customWidth="1"/>
    <col min="1796" max="1796" width="2.28515625" style="164" customWidth="1"/>
    <col min="1797" max="1797" width="1.140625" style="164" customWidth="1"/>
    <col min="1798" max="1798" width="14.85546875" style="164" customWidth="1"/>
    <col min="1799" max="1799" width="3.42578125" style="164" customWidth="1"/>
    <col min="1800" max="1800" width="2.28515625" style="164" customWidth="1"/>
    <col min="1801" max="1801" width="1.140625" style="164" customWidth="1"/>
    <col min="1802" max="1802" width="14.5703125" style="164" customWidth="1"/>
    <col min="1803" max="1803" width="10.28515625" style="164" customWidth="1"/>
    <col min="1804" max="1804" width="1.140625" style="164" customWidth="1"/>
    <col min="1805" max="1805" width="4.140625" style="164" customWidth="1"/>
    <col min="1806" max="1806" width="2.7109375" style="164" customWidth="1"/>
    <col min="1807" max="1807" width="2.28515625" style="164" customWidth="1"/>
    <col min="1808" max="1808" width="3.42578125" style="164" customWidth="1"/>
    <col min="1809" max="1809" width="20.140625" style="164" customWidth="1"/>
    <col min="1810" max="1810" width="1.5703125" style="164" customWidth="1"/>
    <col min="1811" max="2048" width="6.85546875" style="164"/>
    <col min="2049" max="2049" width="1.140625" style="164" customWidth="1"/>
    <col min="2050" max="2050" width="2.28515625" style="164" customWidth="1"/>
    <col min="2051" max="2051" width="8" style="164" customWidth="1"/>
    <col min="2052" max="2052" width="2.28515625" style="164" customWidth="1"/>
    <col min="2053" max="2053" width="1.140625" style="164" customWidth="1"/>
    <col min="2054" max="2054" width="14.85546875" style="164" customWidth="1"/>
    <col min="2055" max="2055" width="3.42578125" style="164" customWidth="1"/>
    <col min="2056" max="2056" width="2.28515625" style="164" customWidth="1"/>
    <col min="2057" max="2057" width="1.140625" style="164" customWidth="1"/>
    <col min="2058" max="2058" width="14.5703125" style="164" customWidth="1"/>
    <col min="2059" max="2059" width="10.28515625" style="164" customWidth="1"/>
    <col min="2060" max="2060" width="1.140625" style="164" customWidth="1"/>
    <col min="2061" max="2061" width="4.140625" style="164" customWidth="1"/>
    <col min="2062" max="2062" width="2.7109375" style="164" customWidth="1"/>
    <col min="2063" max="2063" width="2.28515625" style="164" customWidth="1"/>
    <col min="2064" max="2064" width="3.42578125" style="164" customWidth="1"/>
    <col min="2065" max="2065" width="20.140625" style="164" customWidth="1"/>
    <col min="2066" max="2066" width="1.5703125" style="164" customWidth="1"/>
    <col min="2067" max="2304" width="6.85546875" style="164"/>
    <col min="2305" max="2305" width="1.140625" style="164" customWidth="1"/>
    <col min="2306" max="2306" width="2.28515625" style="164" customWidth="1"/>
    <col min="2307" max="2307" width="8" style="164" customWidth="1"/>
    <col min="2308" max="2308" width="2.28515625" style="164" customWidth="1"/>
    <col min="2309" max="2309" width="1.140625" style="164" customWidth="1"/>
    <col min="2310" max="2310" width="14.85546875" style="164" customWidth="1"/>
    <col min="2311" max="2311" width="3.42578125" style="164" customWidth="1"/>
    <col min="2312" max="2312" width="2.28515625" style="164" customWidth="1"/>
    <col min="2313" max="2313" width="1.140625" style="164" customWidth="1"/>
    <col min="2314" max="2314" width="14.5703125" style="164" customWidth="1"/>
    <col min="2315" max="2315" width="10.28515625" style="164" customWidth="1"/>
    <col min="2316" max="2316" width="1.140625" style="164" customWidth="1"/>
    <col min="2317" max="2317" width="4.140625" style="164" customWidth="1"/>
    <col min="2318" max="2318" width="2.7109375" style="164" customWidth="1"/>
    <col min="2319" max="2319" width="2.28515625" style="164" customWidth="1"/>
    <col min="2320" max="2320" width="3.42578125" style="164" customWidth="1"/>
    <col min="2321" max="2321" width="20.140625" style="164" customWidth="1"/>
    <col min="2322" max="2322" width="1.5703125" style="164" customWidth="1"/>
    <col min="2323" max="2560" width="6.85546875" style="164"/>
    <col min="2561" max="2561" width="1.140625" style="164" customWidth="1"/>
    <col min="2562" max="2562" width="2.28515625" style="164" customWidth="1"/>
    <col min="2563" max="2563" width="8" style="164" customWidth="1"/>
    <col min="2564" max="2564" width="2.28515625" style="164" customWidth="1"/>
    <col min="2565" max="2565" width="1.140625" style="164" customWidth="1"/>
    <col min="2566" max="2566" width="14.85546875" style="164" customWidth="1"/>
    <col min="2567" max="2567" width="3.42578125" style="164" customWidth="1"/>
    <col min="2568" max="2568" width="2.28515625" style="164" customWidth="1"/>
    <col min="2569" max="2569" width="1.140625" style="164" customWidth="1"/>
    <col min="2570" max="2570" width="14.5703125" style="164" customWidth="1"/>
    <col min="2571" max="2571" width="10.28515625" style="164" customWidth="1"/>
    <col min="2572" max="2572" width="1.140625" style="164" customWidth="1"/>
    <col min="2573" max="2573" width="4.140625" style="164" customWidth="1"/>
    <col min="2574" max="2574" width="2.7109375" style="164" customWidth="1"/>
    <col min="2575" max="2575" width="2.28515625" style="164" customWidth="1"/>
    <col min="2576" max="2576" width="3.42578125" style="164" customWidth="1"/>
    <col min="2577" max="2577" width="20.140625" style="164" customWidth="1"/>
    <col min="2578" max="2578" width="1.5703125" style="164" customWidth="1"/>
    <col min="2579" max="2816" width="6.85546875" style="164"/>
    <col min="2817" max="2817" width="1.140625" style="164" customWidth="1"/>
    <col min="2818" max="2818" width="2.28515625" style="164" customWidth="1"/>
    <col min="2819" max="2819" width="8" style="164" customWidth="1"/>
    <col min="2820" max="2820" width="2.28515625" style="164" customWidth="1"/>
    <col min="2821" max="2821" width="1.140625" style="164" customWidth="1"/>
    <col min="2822" max="2822" width="14.85546875" style="164" customWidth="1"/>
    <col min="2823" max="2823" width="3.42578125" style="164" customWidth="1"/>
    <col min="2824" max="2824" width="2.28515625" style="164" customWidth="1"/>
    <col min="2825" max="2825" width="1.140625" style="164" customWidth="1"/>
    <col min="2826" max="2826" width="14.5703125" style="164" customWidth="1"/>
    <col min="2827" max="2827" width="10.28515625" style="164" customWidth="1"/>
    <col min="2828" max="2828" width="1.140625" style="164" customWidth="1"/>
    <col min="2829" max="2829" width="4.140625" style="164" customWidth="1"/>
    <col min="2830" max="2830" width="2.7109375" style="164" customWidth="1"/>
    <col min="2831" max="2831" width="2.28515625" style="164" customWidth="1"/>
    <col min="2832" max="2832" width="3.42578125" style="164" customWidth="1"/>
    <col min="2833" max="2833" width="20.140625" style="164" customWidth="1"/>
    <col min="2834" max="2834" width="1.5703125" style="164" customWidth="1"/>
    <col min="2835" max="3072" width="6.85546875" style="164"/>
    <col min="3073" max="3073" width="1.140625" style="164" customWidth="1"/>
    <col min="3074" max="3074" width="2.28515625" style="164" customWidth="1"/>
    <col min="3075" max="3075" width="8" style="164" customWidth="1"/>
    <col min="3076" max="3076" width="2.28515625" style="164" customWidth="1"/>
    <col min="3077" max="3077" width="1.140625" style="164" customWidth="1"/>
    <col min="3078" max="3078" width="14.85546875" style="164" customWidth="1"/>
    <col min="3079" max="3079" width="3.42578125" style="164" customWidth="1"/>
    <col min="3080" max="3080" width="2.28515625" style="164" customWidth="1"/>
    <col min="3081" max="3081" width="1.140625" style="164" customWidth="1"/>
    <col min="3082" max="3082" width="14.5703125" style="164" customWidth="1"/>
    <col min="3083" max="3083" width="10.28515625" style="164" customWidth="1"/>
    <col min="3084" max="3084" width="1.140625" style="164" customWidth="1"/>
    <col min="3085" max="3085" width="4.140625" style="164" customWidth="1"/>
    <col min="3086" max="3086" width="2.7109375" style="164" customWidth="1"/>
    <col min="3087" max="3087" width="2.28515625" style="164" customWidth="1"/>
    <col min="3088" max="3088" width="3.42578125" style="164" customWidth="1"/>
    <col min="3089" max="3089" width="20.140625" style="164" customWidth="1"/>
    <col min="3090" max="3090" width="1.5703125" style="164" customWidth="1"/>
    <col min="3091" max="3328" width="6.85546875" style="164"/>
    <col min="3329" max="3329" width="1.140625" style="164" customWidth="1"/>
    <col min="3330" max="3330" width="2.28515625" style="164" customWidth="1"/>
    <col min="3331" max="3331" width="8" style="164" customWidth="1"/>
    <col min="3332" max="3332" width="2.28515625" style="164" customWidth="1"/>
    <col min="3333" max="3333" width="1.140625" style="164" customWidth="1"/>
    <col min="3334" max="3334" width="14.85546875" style="164" customWidth="1"/>
    <col min="3335" max="3335" width="3.42578125" style="164" customWidth="1"/>
    <col min="3336" max="3336" width="2.28515625" style="164" customWidth="1"/>
    <col min="3337" max="3337" width="1.140625" style="164" customWidth="1"/>
    <col min="3338" max="3338" width="14.5703125" style="164" customWidth="1"/>
    <col min="3339" max="3339" width="10.28515625" style="164" customWidth="1"/>
    <col min="3340" max="3340" width="1.140625" style="164" customWidth="1"/>
    <col min="3341" max="3341" width="4.140625" style="164" customWidth="1"/>
    <col min="3342" max="3342" width="2.7109375" style="164" customWidth="1"/>
    <col min="3343" max="3343" width="2.28515625" style="164" customWidth="1"/>
    <col min="3344" max="3344" width="3.42578125" style="164" customWidth="1"/>
    <col min="3345" max="3345" width="20.140625" style="164" customWidth="1"/>
    <col min="3346" max="3346" width="1.5703125" style="164" customWidth="1"/>
    <col min="3347" max="3584" width="6.85546875" style="164"/>
    <col min="3585" max="3585" width="1.140625" style="164" customWidth="1"/>
    <col min="3586" max="3586" width="2.28515625" style="164" customWidth="1"/>
    <col min="3587" max="3587" width="8" style="164" customWidth="1"/>
    <col min="3588" max="3588" width="2.28515625" style="164" customWidth="1"/>
    <col min="3589" max="3589" width="1.140625" style="164" customWidth="1"/>
    <col min="3590" max="3590" width="14.85546875" style="164" customWidth="1"/>
    <col min="3591" max="3591" width="3.42578125" style="164" customWidth="1"/>
    <col min="3592" max="3592" width="2.28515625" style="164" customWidth="1"/>
    <col min="3593" max="3593" width="1.140625" style="164" customWidth="1"/>
    <col min="3594" max="3594" width="14.5703125" style="164" customWidth="1"/>
    <col min="3595" max="3595" width="10.28515625" style="164" customWidth="1"/>
    <col min="3596" max="3596" width="1.140625" style="164" customWidth="1"/>
    <col min="3597" max="3597" width="4.140625" style="164" customWidth="1"/>
    <col min="3598" max="3598" width="2.7109375" style="164" customWidth="1"/>
    <col min="3599" max="3599" width="2.28515625" style="164" customWidth="1"/>
    <col min="3600" max="3600" width="3.42578125" style="164" customWidth="1"/>
    <col min="3601" max="3601" width="20.140625" style="164" customWidth="1"/>
    <col min="3602" max="3602" width="1.5703125" style="164" customWidth="1"/>
    <col min="3603" max="3840" width="6.85546875" style="164"/>
    <col min="3841" max="3841" width="1.140625" style="164" customWidth="1"/>
    <col min="3842" max="3842" width="2.28515625" style="164" customWidth="1"/>
    <col min="3843" max="3843" width="8" style="164" customWidth="1"/>
    <col min="3844" max="3844" width="2.28515625" style="164" customWidth="1"/>
    <col min="3845" max="3845" width="1.140625" style="164" customWidth="1"/>
    <col min="3846" max="3846" width="14.85546875" style="164" customWidth="1"/>
    <col min="3847" max="3847" width="3.42578125" style="164" customWidth="1"/>
    <col min="3848" max="3848" width="2.28515625" style="164" customWidth="1"/>
    <col min="3849" max="3849" width="1.140625" style="164" customWidth="1"/>
    <col min="3850" max="3850" width="14.5703125" style="164" customWidth="1"/>
    <col min="3851" max="3851" width="10.28515625" style="164" customWidth="1"/>
    <col min="3852" max="3852" width="1.140625" style="164" customWidth="1"/>
    <col min="3853" max="3853" width="4.140625" style="164" customWidth="1"/>
    <col min="3854" max="3854" width="2.7109375" style="164" customWidth="1"/>
    <col min="3855" max="3855" width="2.28515625" style="164" customWidth="1"/>
    <col min="3856" max="3856" width="3.42578125" style="164" customWidth="1"/>
    <col min="3857" max="3857" width="20.140625" style="164" customWidth="1"/>
    <col min="3858" max="3858" width="1.5703125" style="164" customWidth="1"/>
    <col min="3859" max="4096" width="6.85546875" style="164"/>
    <col min="4097" max="4097" width="1.140625" style="164" customWidth="1"/>
    <col min="4098" max="4098" width="2.28515625" style="164" customWidth="1"/>
    <col min="4099" max="4099" width="8" style="164" customWidth="1"/>
    <col min="4100" max="4100" width="2.28515625" style="164" customWidth="1"/>
    <col min="4101" max="4101" width="1.140625" style="164" customWidth="1"/>
    <col min="4102" max="4102" width="14.85546875" style="164" customWidth="1"/>
    <col min="4103" max="4103" width="3.42578125" style="164" customWidth="1"/>
    <col min="4104" max="4104" width="2.28515625" style="164" customWidth="1"/>
    <col min="4105" max="4105" width="1.140625" style="164" customWidth="1"/>
    <col min="4106" max="4106" width="14.5703125" style="164" customWidth="1"/>
    <col min="4107" max="4107" width="10.28515625" style="164" customWidth="1"/>
    <col min="4108" max="4108" width="1.140625" style="164" customWidth="1"/>
    <col min="4109" max="4109" width="4.140625" style="164" customWidth="1"/>
    <col min="4110" max="4110" width="2.7109375" style="164" customWidth="1"/>
    <col min="4111" max="4111" width="2.28515625" style="164" customWidth="1"/>
    <col min="4112" max="4112" width="3.42578125" style="164" customWidth="1"/>
    <col min="4113" max="4113" width="20.140625" style="164" customWidth="1"/>
    <col min="4114" max="4114" width="1.5703125" style="164" customWidth="1"/>
    <col min="4115" max="4352" width="6.85546875" style="164"/>
    <col min="4353" max="4353" width="1.140625" style="164" customWidth="1"/>
    <col min="4354" max="4354" width="2.28515625" style="164" customWidth="1"/>
    <col min="4355" max="4355" width="8" style="164" customWidth="1"/>
    <col min="4356" max="4356" width="2.28515625" style="164" customWidth="1"/>
    <col min="4357" max="4357" width="1.140625" style="164" customWidth="1"/>
    <col min="4358" max="4358" width="14.85546875" style="164" customWidth="1"/>
    <col min="4359" max="4359" width="3.42578125" style="164" customWidth="1"/>
    <col min="4360" max="4360" width="2.28515625" style="164" customWidth="1"/>
    <col min="4361" max="4361" width="1.140625" style="164" customWidth="1"/>
    <col min="4362" max="4362" width="14.5703125" style="164" customWidth="1"/>
    <col min="4363" max="4363" width="10.28515625" style="164" customWidth="1"/>
    <col min="4364" max="4364" width="1.140625" style="164" customWidth="1"/>
    <col min="4365" max="4365" width="4.140625" style="164" customWidth="1"/>
    <col min="4366" max="4366" width="2.7109375" style="164" customWidth="1"/>
    <col min="4367" max="4367" width="2.28515625" style="164" customWidth="1"/>
    <col min="4368" max="4368" width="3.42578125" style="164" customWidth="1"/>
    <col min="4369" max="4369" width="20.140625" style="164" customWidth="1"/>
    <col min="4370" max="4370" width="1.5703125" style="164" customWidth="1"/>
    <col min="4371" max="4608" width="6.85546875" style="164"/>
    <col min="4609" max="4609" width="1.140625" style="164" customWidth="1"/>
    <col min="4610" max="4610" width="2.28515625" style="164" customWidth="1"/>
    <col min="4611" max="4611" width="8" style="164" customWidth="1"/>
    <col min="4612" max="4612" width="2.28515625" style="164" customWidth="1"/>
    <col min="4613" max="4613" width="1.140625" style="164" customWidth="1"/>
    <col min="4614" max="4614" width="14.85546875" style="164" customWidth="1"/>
    <col min="4615" max="4615" width="3.42578125" style="164" customWidth="1"/>
    <col min="4616" max="4616" width="2.28515625" style="164" customWidth="1"/>
    <col min="4617" max="4617" width="1.140625" style="164" customWidth="1"/>
    <col min="4618" max="4618" width="14.5703125" style="164" customWidth="1"/>
    <col min="4619" max="4619" width="10.28515625" style="164" customWidth="1"/>
    <col min="4620" max="4620" width="1.140625" style="164" customWidth="1"/>
    <col min="4621" max="4621" width="4.140625" style="164" customWidth="1"/>
    <col min="4622" max="4622" width="2.7109375" style="164" customWidth="1"/>
    <col min="4623" max="4623" width="2.28515625" style="164" customWidth="1"/>
    <col min="4624" max="4624" width="3.42578125" style="164" customWidth="1"/>
    <col min="4625" max="4625" width="20.140625" style="164" customWidth="1"/>
    <col min="4626" max="4626" width="1.5703125" style="164" customWidth="1"/>
    <col min="4627" max="4864" width="6.85546875" style="164"/>
    <col min="4865" max="4865" width="1.140625" style="164" customWidth="1"/>
    <col min="4866" max="4866" width="2.28515625" style="164" customWidth="1"/>
    <col min="4867" max="4867" width="8" style="164" customWidth="1"/>
    <col min="4868" max="4868" width="2.28515625" style="164" customWidth="1"/>
    <col min="4869" max="4869" width="1.140625" style="164" customWidth="1"/>
    <col min="4870" max="4870" width="14.85546875" style="164" customWidth="1"/>
    <col min="4871" max="4871" width="3.42578125" style="164" customWidth="1"/>
    <col min="4872" max="4872" width="2.28515625" style="164" customWidth="1"/>
    <col min="4873" max="4873" width="1.140625" style="164" customWidth="1"/>
    <col min="4874" max="4874" width="14.5703125" style="164" customWidth="1"/>
    <col min="4875" max="4875" width="10.28515625" style="164" customWidth="1"/>
    <col min="4876" max="4876" width="1.140625" style="164" customWidth="1"/>
    <col min="4877" max="4877" width="4.140625" style="164" customWidth="1"/>
    <col min="4878" max="4878" width="2.7109375" style="164" customWidth="1"/>
    <col min="4879" max="4879" width="2.28515625" style="164" customWidth="1"/>
    <col min="4880" max="4880" width="3.42578125" style="164" customWidth="1"/>
    <col min="4881" max="4881" width="20.140625" style="164" customWidth="1"/>
    <col min="4882" max="4882" width="1.5703125" style="164" customWidth="1"/>
    <col min="4883" max="5120" width="6.85546875" style="164"/>
    <col min="5121" max="5121" width="1.140625" style="164" customWidth="1"/>
    <col min="5122" max="5122" width="2.28515625" style="164" customWidth="1"/>
    <col min="5123" max="5123" width="8" style="164" customWidth="1"/>
    <col min="5124" max="5124" width="2.28515625" style="164" customWidth="1"/>
    <col min="5125" max="5125" width="1.140625" style="164" customWidth="1"/>
    <col min="5126" max="5126" width="14.85546875" style="164" customWidth="1"/>
    <col min="5127" max="5127" width="3.42578125" style="164" customWidth="1"/>
    <col min="5128" max="5128" width="2.28515625" style="164" customWidth="1"/>
    <col min="5129" max="5129" width="1.140625" style="164" customWidth="1"/>
    <col min="5130" max="5130" width="14.5703125" style="164" customWidth="1"/>
    <col min="5131" max="5131" width="10.28515625" style="164" customWidth="1"/>
    <col min="5132" max="5132" width="1.140625" style="164" customWidth="1"/>
    <col min="5133" max="5133" width="4.140625" style="164" customWidth="1"/>
    <col min="5134" max="5134" width="2.7109375" style="164" customWidth="1"/>
    <col min="5135" max="5135" width="2.28515625" style="164" customWidth="1"/>
    <col min="5136" max="5136" width="3.42578125" style="164" customWidth="1"/>
    <col min="5137" max="5137" width="20.140625" style="164" customWidth="1"/>
    <col min="5138" max="5138" width="1.5703125" style="164" customWidth="1"/>
    <col min="5139" max="5376" width="6.85546875" style="164"/>
    <col min="5377" max="5377" width="1.140625" style="164" customWidth="1"/>
    <col min="5378" max="5378" width="2.28515625" style="164" customWidth="1"/>
    <col min="5379" max="5379" width="8" style="164" customWidth="1"/>
    <col min="5380" max="5380" width="2.28515625" style="164" customWidth="1"/>
    <col min="5381" max="5381" width="1.140625" style="164" customWidth="1"/>
    <col min="5382" max="5382" width="14.85546875" style="164" customWidth="1"/>
    <col min="5383" max="5383" width="3.42578125" style="164" customWidth="1"/>
    <col min="5384" max="5384" width="2.28515625" style="164" customWidth="1"/>
    <col min="5385" max="5385" width="1.140625" style="164" customWidth="1"/>
    <col min="5386" max="5386" width="14.5703125" style="164" customWidth="1"/>
    <col min="5387" max="5387" width="10.28515625" style="164" customWidth="1"/>
    <col min="5388" max="5388" width="1.140625" style="164" customWidth="1"/>
    <col min="5389" max="5389" width="4.140625" style="164" customWidth="1"/>
    <col min="5390" max="5390" width="2.7109375" style="164" customWidth="1"/>
    <col min="5391" max="5391" width="2.28515625" style="164" customWidth="1"/>
    <col min="5392" max="5392" width="3.42578125" style="164" customWidth="1"/>
    <col min="5393" max="5393" width="20.140625" style="164" customWidth="1"/>
    <col min="5394" max="5394" width="1.5703125" style="164" customWidth="1"/>
    <col min="5395" max="5632" width="6.85546875" style="164"/>
    <col min="5633" max="5633" width="1.140625" style="164" customWidth="1"/>
    <col min="5634" max="5634" width="2.28515625" style="164" customWidth="1"/>
    <col min="5635" max="5635" width="8" style="164" customWidth="1"/>
    <col min="5636" max="5636" width="2.28515625" style="164" customWidth="1"/>
    <col min="5637" max="5637" width="1.140625" style="164" customWidth="1"/>
    <col min="5638" max="5638" width="14.85546875" style="164" customWidth="1"/>
    <col min="5639" max="5639" width="3.42578125" style="164" customWidth="1"/>
    <col min="5640" max="5640" width="2.28515625" style="164" customWidth="1"/>
    <col min="5641" max="5641" width="1.140625" style="164" customWidth="1"/>
    <col min="5642" max="5642" width="14.5703125" style="164" customWidth="1"/>
    <col min="5643" max="5643" width="10.28515625" style="164" customWidth="1"/>
    <col min="5644" max="5644" width="1.140625" style="164" customWidth="1"/>
    <col min="5645" max="5645" width="4.140625" style="164" customWidth="1"/>
    <col min="5646" max="5646" width="2.7109375" style="164" customWidth="1"/>
    <col min="5647" max="5647" width="2.28515625" style="164" customWidth="1"/>
    <col min="5648" max="5648" width="3.42578125" style="164" customWidth="1"/>
    <col min="5649" max="5649" width="20.140625" style="164" customWidth="1"/>
    <col min="5650" max="5650" width="1.5703125" style="164" customWidth="1"/>
    <col min="5651" max="5888" width="6.85546875" style="164"/>
    <col min="5889" max="5889" width="1.140625" style="164" customWidth="1"/>
    <col min="5890" max="5890" width="2.28515625" style="164" customWidth="1"/>
    <col min="5891" max="5891" width="8" style="164" customWidth="1"/>
    <col min="5892" max="5892" width="2.28515625" style="164" customWidth="1"/>
    <col min="5893" max="5893" width="1.140625" style="164" customWidth="1"/>
    <col min="5894" max="5894" width="14.85546875" style="164" customWidth="1"/>
    <col min="5895" max="5895" width="3.42578125" style="164" customWidth="1"/>
    <col min="5896" max="5896" width="2.28515625" style="164" customWidth="1"/>
    <col min="5897" max="5897" width="1.140625" style="164" customWidth="1"/>
    <col min="5898" max="5898" width="14.5703125" style="164" customWidth="1"/>
    <col min="5899" max="5899" width="10.28515625" style="164" customWidth="1"/>
    <col min="5900" max="5900" width="1.140625" style="164" customWidth="1"/>
    <col min="5901" max="5901" width="4.140625" style="164" customWidth="1"/>
    <col min="5902" max="5902" width="2.7109375" style="164" customWidth="1"/>
    <col min="5903" max="5903" width="2.28515625" style="164" customWidth="1"/>
    <col min="5904" max="5904" width="3.42578125" style="164" customWidth="1"/>
    <col min="5905" max="5905" width="20.140625" style="164" customWidth="1"/>
    <col min="5906" max="5906" width="1.5703125" style="164" customWidth="1"/>
    <col min="5907" max="6144" width="6.85546875" style="164"/>
    <col min="6145" max="6145" width="1.140625" style="164" customWidth="1"/>
    <col min="6146" max="6146" width="2.28515625" style="164" customWidth="1"/>
    <col min="6147" max="6147" width="8" style="164" customWidth="1"/>
    <col min="6148" max="6148" width="2.28515625" style="164" customWidth="1"/>
    <col min="6149" max="6149" width="1.140625" style="164" customWidth="1"/>
    <col min="6150" max="6150" width="14.85546875" style="164" customWidth="1"/>
    <col min="6151" max="6151" width="3.42578125" style="164" customWidth="1"/>
    <col min="6152" max="6152" width="2.28515625" style="164" customWidth="1"/>
    <col min="6153" max="6153" width="1.140625" style="164" customWidth="1"/>
    <col min="6154" max="6154" width="14.5703125" style="164" customWidth="1"/>
    <col min="6155" max="6155" width="10.28515625" style="164" customWidth="1"/>
    <col min="6156" max="6156" width="1.140625" style="164" customWidth="1"/>
    <col min="6157" max="6157" width="4.140625" style="164" customWidth="1"/>
    <col min="6158" max="6158" width="2.7109375" style="164" customWidth="1"/>
    <col min="6159" max="6159" width="2.28515625" style="164" customWidth="1"/>
    <col min="6160" max="6160" width="3.42578125" style="164" customWidth="1"/>
    <col min="6161" max="6161" width="20.140625" style="164" customWidth="1"/>
    <col min="6162" max="6162" width="1.5703125" style="164" customWidth="1"/>
    <col min="6163" max="6400" width="6.85546875" style="164"/>
    <col min="6401" max="6401" width="1.140625" style="164" customWidth="1"/>
    <col min="6402" max="6402" width="2.28515625" style="164" customWidth="1"/>
    <col min="6403" max="6403" width="8" style="164" customWidth="1"/>
    <col min="6404" max="6404" width="2.28515625" style="164" customWidth="1"/>
    <col min="6405" max="6405" width="1.140625" style="164" customWidth="1"/>
    <col min="6406" max="6406" width="14.85546875" style="164" customWidth="1"/>
    <col min="6407" max="6407" width="3.42578125" style="164" customWidth="1"/>
    <col min="6408" max="6408" width="2.28515625" style="164" customWidth="1"/>
    <col min="6409" max="6409" width="1.140625" style="164" customWidth="1"/>
    <col min="6410" max="6410" width="14.5703125" style="164" customWidth="1"/>
    <col min="6411" max="6411" width="10.28515625" style="164" customWidth="1"/>
    <col min="6412" max="6412" width="1.140625" style="164" customWidth="1"/>
    <col min="6413" max="6413" width="4.140625" style="164" customWidth="1"/>
    <col min="6414" max="6414" width="2.7109375" style="164" customWidth="1"/>
    <col min="6415" max="6415" width="2.28515625" style="164" customWidth="1"/>
    <col min="6416" max="6416" width="3.42578125" style="164" customWidth="1"/>
    <col min="6417" max="6417" width="20.140625" style="164" customWidth="1"/>
    <col min="6418" max="6418" width="1.5703125" style="164" customWidth="1"/>
    <col min="6419" max="6656" width="6.85546875" style="164"/>
    <col min="6657" max="6657" width="1.140625" style="164" customWidth="1"/>
    <col min="6658" max="6658" width="2.28515625" style="164" customWidth="1"/>
    <col min="6659" max="6659" width="8" style="164" customWidth="1"/>
    <col min="6660" max="6660" width="2.28515625" style="164" customWidth="1"/>
    <col min="6661" max="6661" width="1.140625" style="164" customWidth="1"/>
    <col min="6662" max="6662" width="14.85546875" style="164" customWidth="1"/>
    <col min="6663" max="6663" width="3.42578125" style="164" customWidth="1"/>
    <col min="6664" max="6664" width="2.28515625" style="164" customWidth="1"/>
    <col min="6665" max="6665" width="1.140625" style="164" customWidth="1"/>
    <col min="6666" max="6666" width="14.5703125" style="164" customWidth="1"/>
    <col min="6667" max="6667" width="10.28515625" style="164" customWidth="1"/>
    <col min="6668" max="6668" width="1.140625" style="164" customWidth="1"/>
    <col min="6669" max="6669" width="4.140625" style="164" customWidth="1"/>
    <col min="6670" max="6670" width="2.7109375" style="164" customWidth="1"/>
    <col min="6671" max="6671" width="2.28515625" style="164" customWidth="1"/>
    <col min="6672" max="6672" width="3.42578125" style="164" customWidth="1"/>
    <col min="6673" max="6673" width="20.140625" style="164" customWidth="1"/>
    <col min="6674" max="6674" width="1.5703125" style="164" customWidth="1"/>
    <col min="6675" max="6912" width="6.85546875" style="164"/>
    <col min="6913" max="6913" width="1.140625" style="164" customWidth="1"/>
    <col min="6914" max="6914" width="2.28515625" style="164" customWidth="1"/>
    <col min="6915" max="6915" width="8" style="164" customWidth="1"/>
    <col min="6916" max="6916" width="2.28515625" style="164" customWidth="1"/>
    <col min="6917" max="6917" width="1.140625" style="164" customWidth="1"/>
    <col min="6918" max="6918" width="14.85546875" style="164" customWidth="1"/>
    <col min="6919" max="6919" width="3.42578125" style="164" customWidth="1"/>
    <col min="6920" max="6920" width="2.28515625" style="164" customWidth="1"/>
    <col min="6921" max="6921" width="1.140625" style="164" customWidth="1"/>
    <col min="6922" max="6922" width="14.5703125" style="164" customWidth="1"/>
    <col min="6923" max="6923" width="10.28515625" style="164" customWidth="1"/>
    <col min="6924" max="6924" width="1.140625" style="164" customWidth="1"/>
    <col min="6925" max="6925" width="4.140625" style="164" customWidth="1"/>
    <col min="6926" max="6926" width="2.7109375" style="164" customWidth="1"/>
    <col min="6927" max="6927" width="2.28515625" style="164" customWidth="1"/>
    <col min="6928" max="6928" width="3.42578125" style="164" customWidth="1"/>
    <col min="6929" max="6929" width="20.140625" style="164" customWidth="1"/>
    <col min="6930" max="6930" width="1.5703125" style="164" customWidth="1"/>
    <col min="6931" max="7168" width="6.85546875" style="164"/>
    <col min="7169" max="7169" width="1.140625" style="164" customWidth="1"/>
    <col min="7170" max="7170" width="2.28515625" style="164" customWidth="1"/>
    <col min="7171" max="7171" width="8" style="164" customWidth="1"/>
    <col min="7172" max="7172" width="2.28515625" style="164" customWidth="1"/>
    <col min="7173" max="7173" width="1.140625" style="164" customWidth="1"/>
    <col min="7174" max="7174" width="14.85546875" style="164" customWidth="1"/>
    <col min="7175" max="7175" width="3.42578125" style="164" customWidth="1"/>
    <col min="7176" max="7176" width="2.28515625" style="164" customWidth="1"/>
    <col min="7177" max="7177" width="1.140625" style="164" customWidth="1"/>
    <col min="7178" max="7178" width="14.5703125" style="164" customWidth="1"/>
    <col min="7179" max="7179" width="10.28515625" style="164" customWidth="1"/>
    <col min="7180" max="7180" width="1.140625" style="164" customWidth="1"/>
    <col min="7181" max="7181" width="4.140625" style="164" customWidth="1"/>
    <col min="7182" max="7182" width="2.7109375" style="164" customWidth="1"/>
    <col min="7183" max="7183" width="2.28515625" style="164" customWidth="1"/>
    <col min="7184" max="7184" width="3.42578125" style="164" customWidth="1"/>
    <col min="7185" max="7185" width="20.140625" style="164" customWidth="1"/>
    <col min="7186" max="7186" width="1.5703125" style="164" customWidth="1"/>
    <col min="7187" max="7424" width="6.85546875" style="164"/>
    <col min="7425" max="7425" width="1.140625" style="164" customWidth="1"/>
    <col min="7426" max="7426" width="2.28515625" style="164" customWidth="1"/>
    <col min="7427" max="7427" width="8" style="164" customWidth="1"/>
    <col min="7428" max="7428" width="2.28515625" style="164" customWidth="1"/>
    <col min="7429" max="7429" width="1.140625" style="164" customWidth="1"/>
    <col min="7430" max="7430" width="14.85546875" style="164" customWidth="1"/>
    <col min="7431" max="7431" width="3.42578125" style="164" customWidth="1"/>
    <col min="7432" max="7432" width="2.28515625" style="164" customWidth="1"/>
    <col min="7433" max="7433" width="1.140625" style="164" customWidth="1"/>
    <col min="7434" max="7434" width="14.5703125" style="164" customWidth="1"/>
    <col min="7435" max="7435" width="10.28515625" style="164" customWidth="1"/>
    <col min="7436" max="7436" width="1.140625" style="164" customWidth="1"/>
    <col min="7437" max="7437" width="4.140625" style="164" customWidth="1"/>
    <col min="7438" max="7438" width="2.7109375" style="164" customWidth="1"/>
    <col min="7439" max="7439" width="2.28515625" style="164" customWidth="1"/>
    <col min="7440" max="7440" width="3.42578125" style="164" customWidth="1"/>
    <col min="7441" max="7441" width="20.140625" style="164" customWidth="1"/>
    <col min="7442" max="7442" width="1.5703125" style="164" customWidth="1"/>
    <col min="7443" max="7680" width="6.85546875" style="164"/>
    <col min="7681" max="7681" width="1.140625" style="164" customWidth="1"/>
    <col min="7682" max="7682" width="2.28515625" style="164" customWidth="1"/>
    <col min="7683" max="7683" width="8" style="164" customWidth="1"/>
    <col min="7684" max="7684" width="2.28515625" style="164" customWidth="1"/>
    <col min="7685" max="7685" width="1.140625" style="164" customWidth="1"/>
    <col min="7686" max="7686" width="14.85546875" style="164" customWidth="1"/>
    <col min="7687" max="7687" width="3.42578125" style="164" customWidth="1"/>
    <col min="7688" max="7688" width="2.28515625" style="164" customWidth="1"/>
    <col min="7689" max="7689" width="1.140625" style="164" customWidth="1"/>
    <col min="7690" max="7690" width="14.5703125" style="164" customWidth="1"/>
    <col min="7691" max="7691" width="10.28515625" style="164" customWidth="1"/>
    <col min="7692" max="7692" width="1.140625" style="164" customWidth="1"/>
    <col min="7693" max="7693" width="4.140625" style="164" customWidth="1"/>
    <col min="7694" max="7694" width="2.7109375" style="164" customWidth="1"/>
    <col min="7695" max="7695" width="2.28515625" style="164" customWidth="1"/>
    <col min="7696" max="7696" width="3.42578125" style="164" customWidth="1"/>
    <col min="7697" max="7697" width="20.140625" style="164" customWidth="1"/>
    <col min="7698" max="7698" width="1.5703125" style="164" customWidth="1"/>
    <col min="7699" max="7936" width="6.85546875" style="164"/>
    <col min="7937" max="7937" width="1.140625" style="164" customWidth="1"/>
    <col min="7938" max="7938" width="2.28515625" style="164" customWidth="1"/>
    <col min="7939" max="7939" width="8" style="164" customWidth="1"/>
    <col min="7940" max="7940" width="2.28515625" style="164" customWidth="1"/>
    <col min="7941" max="7941" width="1.140625" style="164" customWidth="1"/>
    <col min="7942" max="7942" width="14.85546875" style="164" customWidth="1"/>
    <col min="7943" max="7943" width="3.42578125" style="164" customWidth="1"/>
    <col min="7944" max="7944" width="2.28515625" style="164" customWidth="1"/>
    <col min="7945" max="7945" width="1.140625" style="164" customWidth="1"/>
    <col min="7946" max="7946" width="14.5703125" style="164" customWidth="1"/>
    <col min="7947" max="7947" width="10.28515625" style="164" customWidth="1"/>
    <col min="7948" max="7948" width="1.140625" style="164" customWidth="1"/>
    <col min="7949" max="7949" width="4.140625" style="164" customWidth="1"/>
    <col min="7950" max="7950" width="2.7109375" style="164" customWidth="1"/>
    <col min="7951" max="7951" width="2.28515625" style="164" customWidth="1"/>
    <col min="7952" max="7952" width="3.42578125" style="164" customWidth="1"/>
    <col min="7953" max="7953" width="20.140625" style="164" customWidth="1"/>
    <col min="7954" max="7954" width="1.5703125" style="164" customWidth="1"/>
    <col min="7955" max="8192" width="6.85546875" style="164"/>
    <col min="8193" max="8193" width="1.140625" style="164" customWidth="1"/>
    <col min="8194" max="8194" width="2.28515625" style="164" customWidth="1"/>
    <col min="8195" max="8195" width="8" style="164" customWidth="1"/>
    <col min="8196" max="8196" width="2.28515625" style="164" customWidth="1"/>
    <col min="8197" max="8197" width="1.140625" style="164" customWidth="1"/>
    <col min="8198" max="8198" width="14.85546875" style="164" customWidth="1"/>
    <col min="8199" max="8199" width="3.42578125" style="164" customWidth="1"/>
    <col min="8200" max="8200" width="2.28515625" style="164" customWidth="1"/>
    <col min="8201" max="8201" width="1.140625" style="164" customWidth="1"/>
    <col min="8202" max="8202" width="14.5703125" style="164" customWidth="1"/>
    <col min="8203" max="8203" width="10.28515625" style="164" customWidth="1"/>
    <col min="8204" max="8204" width="1.140625" style="164" customWidth="1"/>
    <col min="8205" max="8205" width="4.140625" style="164" customWidth="1"/>
    <col min="8206" max="8206" width="2.7109375" style="164" customWidth="1"/>
    <col min="8207" max="8207" width="2.28515625" style="164" customWidth="1"/>
    <col min="8208" max="8208" width="3.42578125" style="164" customWidth="1"/>
    <col min="8209" max="8209" width="20.140625" style="164" customWidth="1"/>
    <col min="8210" max="8210" width="1.5703125" style="164" customWidth="1"/>
    <col min="8211" max="8448" width="6.85546875" style="164"/>
    <col min="8449" max="8449" width="1.140625" style="164" customWidth="1"/>
    <col min="8450" max="8450" width="2.28515625" style="164" customWidth="1"/>
    <col min="8451" max="8451" width="8" style="164" customWidth="1"/>
    <col min="8452" max="8452" width="2.28515625" style="164" customWidth="1"/>
    <col min="8453" max="8453" width="1.140625" style="164" customWidth="1"/>
    <col min="8454" max="8454" width="14.85546875" style="164" customWidth="1"/>
    <col min="8455" max="8455" width="3.42578125" style="164" customWidth="1"/>
    <col min="8456" max="8456" width="2.28515625" style="164" customWidth="1"/>
    <col min="8457" max="8457" width="1.140625" style="164" customWidth="1"/>
    <col min="8458" max="8458" width="14.5703125" style="164" customWidth="1"/>
    <col min="8459" max="8459" width="10.28515625" style="164" customWidth="1"/>
    <col min="8460" max="8460" width="1.140625" style="164" customWidth="1"/>
    <col min="8461" max="8461" width="4.140625" style="164" customWidth="1"/>
    <col min="8462" max="8462" width="2.7109375" style="164" customWidth="1"/>
    <col min="8463" max="8463" width="2.28515625" style="164" customWidth="1"/>
    <col min="8464" max="8464" width="3.42578125" style="164" customWidth="1"/>
    <col min="8465" max="8465" width="20.140625" style="164" customWidth="1"/>
    <col min="8466" max="8466" width="1.5703125" style="164" customWidth="1"/>
    <col min="8467" max="8704" width="6.85546875" style="164"/>
    <col min="8705" max="8705" width="1.140625" style="164" customWidth="1"/>
    <col min="8706" max="8706" width="2.28515625" style="164" customWidth="1"/>
    <col min="8707" max="8707" width="8" style="164" customWidth="1"/>
    <col min="8708" max="8708" width="2.28515625" style="164" customWidth="1"/>
    <col min="8709" max="8709" width="1.140625" style="164" customWidth="1"/>
    <col min="8710" max="8710" width="14.85546875" style="164" customWidth="1"/>
    <col min="8711" max="8711" width="3.42578125" style="164" customWidth="1"/>
    <col min="8712" max="8712" width="2.28515625" style="164" customWidth="1"/>
    <col min="8713" max="8713" width="1.140625" style="164" customWidth="1"/>
    <col min="8714" max="8714" width="14.5703125" style="164" customWidth="1"/>
    <col min="8715" max="8715" width="10.28515625" style="164" customWidth="1"/>
    <col min="8716" max="8716" width="1.140625" style="164" customWidth="1"/>
    <col min="8717" max="8717" width="4.140625" style="164" customWidth="1"/>
    <col min="8718" max="8718" width="2.7109375" style="164" customWidth="1"/>
    <col min="8719" max="8719" width="2.28515625" style="164" customWidth="1"/>
    <col min="8720" max="8720" width="3.42578125" style="164" customWidth="1"/>
    <col min="8721" max="8721" width="20.140625" style="164" customWidth="1"/>
    <col min="8722" max="8722" width="1.5703125" style="164" customWidth="1"/>
    <col min="8723" max="8960" width="6.85546875" style="164"/>
    <col min="8961" max="8961" width="1.140625" style="164" customWidth="1"/>
    <col min="8962" max="8962" width="2.28515625" style="164" customWidth="1"/>
    <col min="8963" max="8963" width="8" style="164" customWidth="1"/>
    <col min="8964" max="8964" width="2.28515625" style="164" customWidth="1"/>
    <col min="8965" max="8965" width="1.140625" style="164" customWidth="1"/>
    <col min="8966" max="8966" width="14.85546875" style="164" customWidth="1"/>
    <col min="8967" max="8967" width="3.42578125" style="164" customWidth="1"/>
    <col min="8968" max="8968" width="2.28515625" style="164" customWidth="1"/>
    <col min="8969" max="8969" width="1.140625" style="164" customWidth="1"/>
    <col min="8970" max="8970" width="14.5703125" style="164" customWidth="1"/>
    <col min="8971" max="8971" width="10.28515625" style="164" customWidth="1"/>
    <col min="8972" max="8972" width="1.140625" style="164" customWidth="1"/>
    <col min="8973" max="8973" width="4.140625" style="164" customWidth="1"/>
    <col min="8974" max="8974" width="2.7109375" style="164" customWidth="1"/>
    <col min="8975" max="8975" width="2.28515625" style="164" customWidth="1"/>
    <col min="8976" max="8976" width="3.42578125" style="164" customWidth="1"/>
    <col min="8977" max="8977" width="20.140625" style="164" customWidth="1"/>
    <col min="8978" max="8978" width="1.5703125" style="164" customWidth="1"/>
    <col min="8979" max="9216" width="6.85546875" style="164"/>
    <col min="9217" max="9217" width="1.140625" style="164" customWidth="1"/>
    <col min="9218" max="9218" width="2.28515625" style="164" customWidth="1"/>
    <col min="9219" max="9219" width="8" style="164" customWidth="1"/>
    <col min="9220" max="9220" width="2.28515625" style="164" customWidth="1"/>
    <col min="9221" max="9221" width="1.140625" style="164" customWidth="1"/>
    <col min="9222" max="9222" width="14.85546875" style="164" customWidth="1"/>
    <col min="9223" max="9223" width="3.42578125" style="164" customWidth="1"/>
    <col min="9224" max="9224" width="2.28515625" style="164" customWidth="1"/>
    <col min="9225" max="9225" width="1.140625" style="164" customWidth="1"/>
    <col min="9226" max="9226" width="14.5703125" style="164" customWidth="1"/>
    <col min="9227" max="9227" width="10.28515625" style="164" customWidth="1"/>
    <col min="9228" max="9228" width="1.140625" style="164" customWidth="1"/>
    <col min="9229" max="9229" width="4.140625" style="164" customWidth="1"/>
    <col min="9230" max="9230" width="2.7109375" style="164" customWidth="1"/>
    <col min="9231" max="9231" width="2.28515625" style="164" customWidth="1"/>
    <col min="9232" max="9232" width="3.42578125" style="164" customWidth="1"/>
    <col min="9233" max="9233" width="20.140625" style="164" customWidth="1"/>
    <col min="9234" max="9234" width="1.5703125" style="164" customWidth="1"/>
    <col min="9235" max="9472" width="6.85546875" style="164"/>
    <col min="9473" max="9473" width="1.140625" style="164" customWidth="1"/>
    <col min="9474" max="9474" width="2.28515625" style="164" customWidth="1"/>
    <col min="9475" max="9475" width="8" style="164" customWidth="1"/>
    <col min="9476" max="9476" width="2.28515625" style="164" customWidth="1"/>
    <col min="9477" max="9477" width="1.140625" style="164" customWidth="1"/>
    <col min="9478" max="9478" width="14.85546875" style="164" customWidth="1"/>
    <col min="9479" max="9479" width="3.42578125" style="164" customWidth="1"/>
    <col min="9480" max="9480" width="2.28515625" style="164" customWidth="1"/>
    <col min="9481" max="9481" width="1.140625" style="164" customWidth="1"/>
    <col min="9482" max="9482" width="14.5703125" style="164" customWidth="1"/>
    <col min="9483" max="9483" width="10.28515625" style="164" customWidth="1"/>
    <col min="9484" max="9484" width="1.140625" style="164" customWidth="1"/>
    <col min="9485" max="9485" width="4.140625" style="164" customWidth="1"/>
    <col min="9486" max="9486" width="2.7109375" style="164" customWidth="1"/>
    <col min="9487" max="9487" width="2.28515625" style="164" customWidth="1"/>
    <col min="9488" max="9488" width="3.42578125" style="164" customWidth="1"/>
    <col min="9489" max="9489" width="20.140625" style="164" customWidth="1"/>
    <col min="9490" max="9490" width="1.5703125" style="164" customWidth="1"/>
    <col min="9491" max="9728" width="6.85546875" style="164"/>
    <col min="9729" max="9729" width="1.140625" style="164" customWidth="1"/>
    <col min="9730" max="9730" width="2.28515625" style="164" customWidth="1"/>
    <col min="9731" max="9731" width="8" style="164" customWidth="1"/>
    <col min="9732" max="9732" width="2.28515625" style="164" customWidth="1"/>
    <col min="9733" max="9733" width="1.140625" style="164" customWidth="1"/>
    <col min="9734" max="9734" width="14.85546875" style="164" customWidth="1"/>
    <col min="9735" max="9735" width="3.42578125" style="164" customWidth="1"/>
    <col min="9736" max="9736" width="2.28515625" style="164" customWidth="1"/>
    <col min="9737" max="9737" width="1.140625" style="164" customWidth="1"/>
    <col min="9738" max="9738" width="14.5703125" style="164" customWidth="1"/>
    <col min="9739" max="9739" width="10.28515625" style="164" customWidth="1"/>
    <col min="9740" max="9740" width="1.140625" style="164" customWidth="1"/>
    <col min="9741" max="9741" width="4.140625" style="164" customWidth="1"/>
    <col min="9742" max="9742" width="2.7109375" style="164" customWidth="1"/>
    <col min="9743" max="9743" width="2.28515625" style="164" customWidth="1"/>
    <col min="9744" max="9744" width="3.42578125" style="164" customWidth="1"/>
    <col min="9745" max="9745" width="20.140625" style="164" customWidth="1"/>
    <col min="9746" max="9746" width="1.5703125" style="164" customWidth="1"/>
    <col min="9747" max="9984" width="6.85546875" style="164"/>
    <col min="9985" max="9985" width="1.140625" style="164" customWidth="1"/>
    <col min="9986" max="9986" width="2.28515625" style="164" customWidth="1"/>
    <col min="9987" max="9987" width="8" style="164" customWidth="1"/>
    <col min="9988" max="9988" width="2.28515625" style="164" customWidth="1"/>
    <col min="9989" max="9989" width="1.140625" style="164" customWidth="1"/>
    <col min="9990" max="9990" width="14.85546875" style="164" customWidth="1"/>
    <col min="9991" max="9991" width="3.42578125" style="164" customWidth="1"/>
    <col min="9992" max="9992" width="2.28515625" style="164" customWidth="1"/>
    <col min="9993" max="9993" width="1.140625" style="164" customWidth="1"/>
    <col min="9994" max="9994" width="14.5703125" style="164" customWidth="1"/>
    <col min="9995" max="9995" width="10.28515625" style="164" customWidth="1"/>
    <col min="9996" max="9996" width="1.140625" style="164" customWidth="1"/>
    <col min="9997" max="9997" width="4.140625" style="164" customWidth="1"/>
    <col min="9998" max="9998" width="2.7109375" style="164" customWidth="1"/>
    <col min="9999" max="9999" width="2.28515625" style="164" customWidth="1"/>
    <col min="10000" max="10000" width="3.42578125" style="164" customWidth="1"/>
    <col min="10001" max="10001" width="20.140625" style="164" customWidth="1"/>
    <col min="10002" max="10002" width="1.5703125" style="164" customWidth="1"/>
    <col min="10003" max="10240" width="6.85546875" style="164"/>
    <col min="10241" max="10241" width="1.140625" style="164" customWidth="1"/>
    <col min="10242" max="10242" width="2.28515625" style="164" customWidth="1"/>
    <col min="10243" max="10243" width="8" style="164" customWidth="1"/>
    <col min="10244" max="10244" width="2.28515625" style="164" customWidth="1"/>
    <col min="10245" max="10245" width="1.140625" style="164" customWidth="1"/>
    <col min="10246" max="10246" width="14.85546875" style="164" customWidth="1"/>
    <col min="10247" max="10247" width="3.42578125" style="164" customWidth="1"/>
    <col min="10248" max="10248" width="2.28515625" style="164" customWidth="1"/>
    <col min="10249" max="10249" width="1.140625" style="164" customWidth="1"/>
    <col min="10250" max="10250" width="14.5703125" style="164" customWidth="1"/>
    <col min="10251" max="10251" width="10.28515625" style="164" customWidth="1"/>
    <col min="10252" max="10252" width="1.140625" style="164" customWidth="1"/>
    <col min="10253" max="10253" width="4.140625" style="164" customWidth="1"/>
    <col min="10254" max="10254" width="2.7109375" style="164" customWidth="1"/>
    <col min="10255" max="10255" width="2.28515625" style="164" customWidth="1"/>
    <col min="10256" max="10256" width="3.42578125" style="164" customWidth="1"/>
    <col min="10257" max="10257" width="20.140625" style="164" customWidth="1"/>
    <col min="10258" max="10258" width="1.5703125" style="164" customWidth="1"/>
    <col min="10259" max="10496" width="6.85546875" style="164"/>
    <col min="10497" max="10497" width="1.140625" style="164" customWidth="1"/>
    <col min="10498" max="10498" width="2.28515625" style="164" customWidth="1"/>
    <col min="10499" max="10499" width="8" style="164" customWidth="1"/>
    <col min="10500" max="10500" width="2.28515625" style="164" customWidth="1"/>
    <col min="10501" max="10501" width="1.140625" style="164" customWidth="1"/>
    <col min="10502" max="10502" width="14.85546875" style="164" customWidth="1"/>
    <col min="10503" max="10503" width="3.42578125" style="164" customWidth="1"/>
    <col min="10504" max="10504" width="2.28515625" style="164" customWidth="1"/>
    <col min="10505" max="10505" width="1.140625" style="164" customWidth="1"/>
    <col min="10506" max="10506" width="14.5703125" style="164" customWidth="1"/>
    <col min="10507" max="10507" width="10.28515625" style="164" customWidth="1"/>
    <col min="10508" max="10508" width="1.140625" style="164" customWidth="1"/>
    <col min="10509" max="10509" width="4.140625" style="164" customWidth="1"/>
    <col min="10510" max="10510" width="2.7109375" style="164" customWidth="1"/>
    <col min="10511" max="10511" width="2.28515625" style="164" customWidth="1"/>
    <col min="10512" max="10512" width="3.42578125" style="164" customWidth="1"/>
    <col min="10513" max="10513" width="20.140625" style="164" customWidth="1"/>
    <col min="10514" max="10514" width="1.5703125" style="164" customWidth="1"/>
    <col min="10515" max="10752" width="6.85546875" style="164"/>
    <col min="10753" max="10753" width="1.140625" style="164" customWidth="1"/>
    <col min="10754" max="10754" width="2.28515625" style="164" customWidth="1"/>
    <col min="10755" max="10755" width="8" style="164" customWidth="1"/>
    <col min="10756" max="10756" width="2.28515625" style="164" customWidth="1"/>
    <col min="10757" max="10757" width="1.140625" style="164" customWidth="1"/>
    <col min="10758" max="10758" width="14.85546875" style="164" customWidth="1"/>
    <col min="10759" max="10759" width="3.42578125" style="164" customWidth="1"/>
    <col min="10760" max="10760" width="2.28515625" style="164" customWidth="1"/>
    <col min="10761" max="10761" width="1.140625" style="164" customWidth="1"/>
    <col min="10762" max="10762" width="14.5703125" style="164" customWidth="1"/>
    <col min="10763" max="10763" width="10.28515625" style="164" customWidth="1"/>
    <col min="10764" max="10764" width="1.140625" style="164" customWidth="1"/>
    <col min="10765" max="10765" width="4.140625" style="164" customWidth="1"/>
    <col min="10766" max="10766" width="2.7109375" style="164" customWidth="1"/>
    <col min="10767" max="10767" width="2.28515625" style="164" customWidth="1"/>
    <col min="10768" max="10768" width="3.42578125" style="164" customWidth="1"/>
    <col min="10769" max="10769" width="20.140625" style="164" customWidth="1"/>
    <col min="10770" max="10770" width="1.5703125" style="164" customWidth="1"/>
    <col min="10771" max="11008" width="6.85546875" style="164"/>
    <col min="11009" max="11009" width="1.140625" style="164" customWidth="1"/>
    <col min="11010" max="11010" width="2.28515625" style="164" customWidth="1"/>
    <col min="11011" max="11011" width="8" style="164" customWidth="1"/>
    <col min="11012" max="11012" width="2.28515625" style="164" customWidth="1"/>
    <col min="11013" max="11013" width="1.140625" style="164" customWidth="1"/>
    <col min="11014" max="11014" width="14.85546875" style="164" customWidth="1"/>
    <col min="11015" max="11015" width="3.42578125" style="164" customWidth="1"/>
    <col min="11016" max="11016" width="2.28515625" style="164" customWidth="1"/>
    <col min="11017" max="11017" width="1.140625" style="164" customWidth="1"/>
    <col min="11018" max="11018" width="14.5703125" style="164" customWidth="1"/>
    <col min="11019" max="11019" width="10.28515625" style="164" customWidth="1"/>
    <col min="11020" max="11020" width="1.140625" style="164" customWidth="1"/>
    <col min="11021" max="11021" width="4.140625" style="164" customWidth="1"/>
    <col min="11022" max="11022" width="2.7109375" style="164" customWidth="1"/>
    <col min="11023" max="11023" width="2.28515625" style="164" customWidth="1"/>
    <col min="11024" max="11024" width="3.42578125" style="164" customWidth="1"/>
    <col min="11025" max="11025" width="20.140625" style="164" customWidth="1"/>
    <col min="11026" max="11026" width="1.5703125" style="164" customWidth="1"/>
    <col min="11027" max="11264" width="6.85546875" style="164"/>
    <col min="11265" max="11265" width="1.140625" style="164" customWidth="1"/>
    <col min="11266" max="11266" width="2.28515625" style="164" customWidth="1"/>
    <col min="11267" max="11267" width="8" style="164" customWidth="1"/>
    <col min="11268" max="11268" width="2.28515625" style="164" customWidth="1"/>
    <col min="11269" max="11269" width="1.140625" style="164" customWidth="1"/>
    <col min="11270" max="11270" width="14.85546875" style="164" customWidth="1"/>
    <col min="11271" max="11271" width="3.42578125" style="164" customWidth="1"/>
    <col min="11272" max="11272" width="2.28515625" style="164" customWidth="1"/>
    <col min="11273" max="11273" width="1.140625" style="164" customWidth="1"/>
    <col min="11274" max="11274" width="14.5703125" style="164" customWidth="1"/>
    <col min="11275" max="11275" width="10.28515625" style="164" customWidth="1"/>
    <col min="11276" max="11276" width="1.140625" style="164" customWidth="1"/>
    <col min="11277" max="11277" width="4.140625" style="164" customWidth="1"/>
    <col min="11278" max="11278" width="2.7109375" style="164" customWidth="1"/>
    <col min="11279" max="11279" width="2.28515625" style="164" customWidth="1"/>
    <col min="11280" max="11280" width="3.42578125" style="164" customWidth="1"/>
    <col min="11281" max="11281" width="20.140625" style="164" customWidth="1"/>
    <col min="11282" max="11282" width="1.5703125" style="164" customWidth="1"/>
    <col min="11283" max="11520" width="6.85546875" style="164"/>
    <col min="11521" max="11521" width="1.140625" style="164" customWidth="1"/>
    <col min="11522" max="11522" width="2.28515625" style="164" customWidth="1"/>
    <col min="11523" max="11523" width="8" style="164" customWidth="1"/>
    <col min="11524" max="11524" width="2.28515625" style="164" customWidth="1"/>
    <col min="11525" max="11525" width="1.140625" style="164" customWidth="1"/>
    <col min="11526" max="11526" width="14.85546875" style="164" customWidth="1"/>
    <col min="11527" max="11527" width="3.42578125" style="164" customWidth="1"/>
    <col min="11528" max="11528" width="2.28515625" style="164" customWidth="1"/>
    <col min="11529" max="11529" width="1.140625" style="164" customWidth="1"/>
    <col min="11530" max="11530" width="14.5703125" style="164" customWidth="1"/>
    <col min="11531" max="11531" width="10.28515625" style="164" customWidth="1"/>
    <col min="11532" max="11532" width="1.140625" style="164" customWidth="1"/>
    <col min="11533" max="11533" width="4.140625" style="164" customWidth="1"/>
    <col min="11534" max="11534" width="2.7109375" style="164" customWidth="1"/>
    <col min="11535" max="11535" width="2.28515625" style="164" customWidth="1"/>
    <col min="11536" max="11536" width="3.42578125" style="164" customWidth="1"/>
    <col min="11537" max="11537" width="20.140625" style="164" customWidth="1"/>
    <col min="11538" max="11538" width="1.5703125" style="164" customWidth="1"/>
    <col min="11539" max="11776" width="6.85546875" style="164"/>
    <col min="11777" max="11777" width="1.140625" style="164" customWidth="1"/>
    <col min="11778" max="11778" width="2.28515625" style="164" customWidth="1"/>
    <col min="11779" max="11779" width="8" style="164" customWidth="1"/>
    <col min="11780" max="11780" width="2.28515625" style="164" customWidth="1"/>
    <col min="11781" max="11781" width="1.140625" style="164" customWidth="1"/>
    <col min="11782" max="11782" width="14.85546875" style="164" customWidth="1"/>
    <col min="11783" max="11783" width="3.42578125" style="164" customWidth="1"/>
    <col min="11784" max="11784" width="2.28515625" style="164" customWidth="1"/>
    <col min="11785" max="11785" width="1.140625" style="164" customWidth="1"/>
    <col min="11786" max="11786" width="14.5703125" style="164" customWidth="1"/>
    <col min="11787" max="11787" width="10.28515625" style="164" customWidth="1"/>
    <col min="11788" max="11788" width="1.140625" style="164" customWidth="1"/>
    <col min="11789" max="11789" width="4.140625" style="164" customWidth="1"/>
    <col min="11790" max="11790" width="2.7109375" style="164" customWidth="1"/>
    <col min="11791" max="11791" width="2.28515625" style="164" customWidth="1"/>
    <col min="11792" max="11792" width="3.42578125" style="164" customWidth="1"/>
    <col min="11793" max="11793" width="20.140625" style="164" customWidth="1"/>
    <col min="11794" max="11794" width="1.5703125" style="164" customWidth="1"/>
    <col min="11795" max="12032" width="6.85546875" style="164"/>
    <col min="12033" max="12033" width="1.140625" style="164" customWidth="1"/>
    <col min="12034" max="12034" width="2.28515625" style="164" customWidth="1"/>
    <col min="12035" max="12035" width="8" style="164" customWidth="1"/>
    <col min="12036" max="12036" width="2.28515625" style="164" customWidth="1"/>
    <col min="12037" max="12037" width="1.140625" style="164" customWidth="1"/>
    <col min="12038" max="12038" width="14.85546875" style="164" customWidth="1"/>
    <col min="12039" max="12039" width="3.42578125" style="164" customWidth="1"/>
    <col min="12040" max="12040" width="2.28515625" style="164" customWidth="1"/>
    <col min="12041" max="12041" width="1.140625" style="164" customWidth="1"/>
    <col min="12042" max="12042" width="14.5703125" style="164" customWidth="1"/>
    <col min="12043" max="12043" width="10.28515625" style="164" customWidth="1"/>
    <col min="12044" max="12044" width="1.140625" style="164" customWidth="1"/>
    <col min="12045" max="12045" width="4.140625" style="164" customWidth="1"/>
    <col min="12046" max="12046" width="2.7109375" style="164" customWidth="1"/>
    <col min="12047" max="12047" width="2.28515625" style="164" customWidth="1"/>
    <col min="12048" max="12048" width="3.42578125" style="164" customWidth="1"/>
    <col min="12049" max="12049" width="20.140625" style="164" customWidth="1"/>
    <col min="12050" max="12050" width="1.5703125" style="164" customWidth="1"/>
    <col min="12051" max="12288" width="6.85546875" style="164"/>
    <col min="12289" max="12289" width="1.140625" style="164" customWidth="1"/>
    <col min="12290" max="12290" width="2.28515625" style="164" customWidth="1"/>
    <col min="12291" max="12291" width="8" style="164" customWidth="1"/>
    <col min="12292" max="12292" width="2.28515625" style="164" customWidth="1"/>
    <col min="12293" max="12293" width="1.140625" style="164" customWidth="1"/>
    <col min="12294" max="12294" width="14.85546875" style="164" customWidth="1"/>
    <col min="12295" max="12295" width="3.42578125" style="164" customWidth="1"/>
    <col min="12296" max="12296" width="2.28515625" style="164" customWidth="1"/>
    <col min="12297" max="12297" width="1.140625" style="164" customWidth="1"/>
    <col min="12298" max="12298" width="14.5703125" style="164" customWidth="1"/>
    <col min="12299" max="12299" width="10.28515625" style="164" customWidth="1"/>
    <col min="12300" max="12300" width="1.140625" style="164" customWidth="1"/>
    <col min="12301" max="12301" width="4.140625" style="164" customWidth="1"/>
    <col min="12302" max="12302" width="2.7109375" style="164" customWidth="1"/>
    <col min="12303" max="12303" width="2.28515625" style="164" customWidth="1"/>
    <col min="12304" max="12304" width="3.42578125" style="164" customWidth="1"/>
    <col min="12305" max="12305" width="20.140625" style="164" customWidth="1"/>
    <col min="12306" max="12306" width="1.5703125" style="164" customWidth="1"/>
    <col min="12307" max="12544" width="6.85546875" style="164"/>
    <col min="12545" max="12545" width="1.140625" style="164" customWidth="1"/>
    <col min="12546" max="12546" width="2.28515625" style="164" customWidth="1"/>
    <col min="12547" max="12547" width="8" style="164" customWidth="1"/>
    <col min="12548" max="12548" width="2.28515625" style="164" customWidth="1"/>
    <col min="12549" max="12549" width="1.140625" style="164" customWidth="1"/>
    <col min="12550" max="12550" width="14.85546875" style="164" customWidth="1"/>
    <col min="12551" max="12551" width="3.42578125" style="164" customWidth="1"/>
    <col min="12552" max="12552" width="2.28515625" style="164" customWidth="1"/>
    <col min="12553" max="12553" width="1.140625" style="164" customWidth="1"/>
    <col min="12554" max="12554" width="14.5703125" style="164" customWidth="1"/>
    <col min="12555" max="12555" width="10.28515625" style="164" customWidth="1"/>
    <col min="12556" max="12556" width="1.140625" style="164" customWidth="1"/>
    <col min="12557" max="12557" width="4.140625" style="164" customWidth="1"/>
    <col min="12558" max="12558" width="2.7109375" style="164" customWidth="1"/>
    <col min="12559" max="12559" width="2.28515625" style="164" customWidth="1"/>
    <col min="12560" max="12560" width="3.42578125" style="164" customWidth="1"/>
    <col min="12561" max="12561" width="20.140625" style="164" customWidth="1"/>
    <col min="12562" max="12562" width="1.5703125" style="164" customWidth="1"/>
    <col min="12563" max="12800" width="6.85546875" style="164"/>
    <col min="12801" max="12801" width="1.140625" style="164" customWidth="1"/>
    <col min="12802" max="12802" width="2.28515625" style="164" customWidth="1"/>
    <col min="12803" max="12803" width="8" style="164" customWidth="1"/>
    <col min="12804" max="12804" width="2.28515625" style="164" customWidth="1"/>
    <col min="12805" max="12805" width="1.140625" style="164" customWidth="1"/>
    <col min="12806" max="12806" width="14.85546875" style="164" customWidth="1"/>
    <col min="12807" max="12807" width="3.42578125" style="164" customWidth="1"/>
    <col min="12808" max="12808" width="2.28515625" style="164" customWidth="1"/>
    <col min="12809" max="12809" width="1.140625" style="164" customWidth="1"/>
    <col min="12810" max="12810" width="14.5703125" style="164" customWidth="1"/>
    <col min="12811" max="12811" width="10.28515625" style="164" customWidth="1"/>
    <col min="12812" max="12812" width="1.140625" style="164" customWidth="1"/>
    <col min="12813" max="12813" width="4.140625" style="164" customWidth="1"/>
    <col min="12814" max="12814" width="2.7109375" style="164" customWidth="1"/>
    <col min="12815" max="12815" width="2.28515625" style="164" customWidth="1"/>
    <col min="12816" max="12816" width="3.42578125" style="164" customWidth="1"/>
    <col min="12817" max="12817" width="20.140625" style="164" customWidth="1"/>
    <col min="12818" max="12818" width="1.5703125" style="164" customWidth="1"/>
    <col min="12819" max="13056" width="6.85546875" style="164"/>
    <col min="13057" max="13057" width="1.140625" style="164" customWidth="1"/>
    <col min="13058" max="13058" width="2.28515625" style="164" customWidth="1"/>
    <col min="13059" max="13059" width="8" style="164" customWidth="1"/>
    <col min="13060" max="13060" width="2.28515625" style="164" customWidth="1"/>
    <col min="13061" max="13061" width="1.140625" style="164" customWidth="1"/>
    <col min="13062" max="13062" width="14.85546875" style="164" customWidth="1"/>
    <col min="13063" max="13063" width="3.42578125" style="164" customWidth="1"/>
    <col min="13064" max="13064" width="2.28515625" style="164" customWidth="1"/>
    <col min="13065" max="13065" width="1.140625" style="164" customWidth="1"/>
    <col min="13066" max="13066" width="14.5703125" style="164" customWidth="1"/>
    <col min="13067" max="13067" width="10.28515625" style="164" customWidth="1"/>
    <col min="13068" max="13068" width="1.140625" style="164" customWidth="1"/>
    <col min="13069" max="13069" width="4.140625" style="164" customWidth="1"/>
    <col min="13070" max="13070" width="2.7109375" style="164" customWidth="1"/>
    <col min="13071" max="13071" width="2.28515625" style="164" customWidth="1"/>
    <col min="13072" max="13072" width="3.42578125" style="164" customWidth="1"/>
    <col min="13073" max="13073" width="20.140625" style="164" customWidth="1"/>
    <col min="13074" max="13074" width="1.5703125" style="164" customWidth="1"/>
    <col min="13075" max="13312" width="6.85546875" style="164"/>
    <col min="13313" max="13313" width="1.140625" style="164" customWidth="1"/>
    <col min="13314" max="13314" width="2.28515625" style="164" customWidth="1"/>
    <col min="13315" max="13315" width="8" style="164" customWidth="1"/>
    <col min="13316" max="13316" width="2.28515625" style="164" customWidth="1"/>
    <col min="13317" max="13317" width="1.140625" style="164" customWidth="1"/>
    <col min="13318" max="13318" width="14.85546875" style="164" customWidth="1"/>
    <col min="13319" max="13319" width="3.42578125" style="164" customWidth="1"/>
    <col min="13320" max="13320" width="2.28515625" style="164" customWidth="1"/>
    <col min="13321" max="13321" width="1.140625" style="164" customWidth="1"/>
    <col min="13322" max="13322" width="14.5703125" style="164" customWidth="1"/>
    <col min="13323" max="13323" width="10.28515625" style="164" customWidth="1"/>
    <col min="13324" max="13324" width="1.140625" style="164" customWidth="1"/>
    <col min="13325" max="13325" width="4.140625" style="164" customWidth="1"/>
    <col min="13326" max="13326" width="2.7109375" style="164" customWidth="1"/>
    <col min="13327" max="13327" width="2.28515625" style="164" customWidth="1"/>
    <col min="13328" max="13328" width="3.42578125" style="164" customWidth="1"/>
    <col min="13329" max="13329" width="20.140625" style="164" customWidth="1"/>
    <col min="13330" max="13330" width="1.5703125" style="164" customWidth="1"/>
    <col min="13331" max="13568" width="6.85546875" style="164"/>
    <col min="13569" max="13569" width="1.140625" style="164" customWidth="1"/>
    <col min="13570" max="13570" width="2.28515625" style="164" customWidth="1"/>
    <col min="13571" max="13571" width="8" style="164" customWidth="1"/>
    <col min="13572" max="13572" width="2.28515625" style="164" customWidth="1"/>
    <col min="13573" max="13573" width="1.140625" style="164" customWidth="1"/>
    <col min="13574" max="13574" width="14.85546875" style="164" customWidth="1"/>
    <col min="13575" max="13575" width="3.42578125" style="164" customWidth="1"/>
    <col min="13576" max="13576" width="2.28515625" style="164" customWidth="1"/>
    <col min="13577" max="13577" width="1.140625" style="164" customWidth="1"/>
    <col min="13578" max="13578" width="14.5703125" style="164" customWidth="1"/>
    <col min="13579" max="13579" width="10.28515625" style="164" customWidth="1"/>
    <col min="13580" max="13580" width="1.140625" style="164" customWidth="1"/>
    <col min="13581" max="13581" width="4.140625" style="164" customWidth="1"/>
    <col min="13582" max="13582" width="2.7109375" style="164" customWidth="1"/>
    <col min="13583" max="13583" width="2.28515625" style="164" customWidth="1"/>
    <col min="13584" max="13584" width="3.42578125" style="164" customWidth="1"/>
    <col min="13585" max="13585" width="20.140625" style="164" customWidth="1"/>
    <col min="13586" max="13586" width="1.5703125" style="164" customWidth="1"/>
    <col min="13587" max="13824" width="6.85546875" style="164"/>
    <col min="13825" max="13825" width="1.140625" style="164" customWidth="1"/>
    <col min="13826" max="13826" width="2.28515625" style="164" customWidth="1"/>
    <col min="13827" max="13827" width="8" style="164" customWidth="1"/>
    <col min="13828" max="13828" width="2.28515625" style="164" customWidth="1"/>
    <col min="13829" max="13829" width="1.140625" style="164" customWidth="1"/>
    <col min="13830" max="13830" width="14.85546875" style="164" customWidth="1"/>
    <col min="13831" max="13831" width="3.42578125" style="164" customWidth="1"/>
    <col min="13832" max="13832" width="2.28515625" style="164" customWidth="1"/>
    <col min="13833" max="13833" width="1.140625" style="164" customWidth="1"/>
    <col min="13834" max="13834" width="14.5703125" style="164" customWidth="1"/>
    <col min="13835" max="13835" width="10.28515625" style="164" customWidth="1"/>
    <col min="13836" max="13836" width="1.140625" style="164" customWidth="1"/>
    <col min="13837" max="13837" width="4.140625" style="164" customWidth="1"/>
    <col min="13838" max="13838" width="2.7109375" style="164" customWidth="1"/>
    <col min="13839" max="13839" width="2.28515625" style="164" customWidth="1"/>
    <col min="13840" max="13840" width="3.42578125" style="164" customWidth="1"/>
    <col min="13841" max="13841" width="20.140625" style="164" customWidth="1"/>
    <col min="13842" max="13842" width="1.5703125" style="164" customWidth="1"/>
    <col min="13843" max="14080" width="6.85546875" style="164"/>
    <col min="14081" max="14081" width="1.140625" style="164" customWidth="1"/>
    <col min="14082" max="14082" width="2.28515625" style="164" customWidth="1"/>
    <col min="14083" max="14083" width="8" style="164" customWidth="1"/>
    <col min="14084" max="14084" width="2.28515625" style="164" customWidth="1"/>
    <col min="14085" max="14085" width="1.140625" style="164" customWidth="1"/>
    <col min="14086" max="14086" width="14.85546875" style="164" customWidth="1"/>
    <col min="14087" max="14087" width="3.42578125" style="164" customWidth="1"/>
    <col min="14088" max="14088" width="2.28515625" style="164" customWidth="1"/>
    <col min="14089" max="14089" width="1.140625" style="164" customWidth="1"/>
    <col min="14090" max="14090" width="14.5703125" style="164" customWidth="1"/>
    <col min="14091" max="14091" width="10.28515625" style="164" customWidth="1"/>
    <col min="14092" max="14092" width="1.140625" style="164" customWidth="1"/>
    <col min="14093" max="14093" width="4.140625" style="164" customWidth="1"/>
    <col min="14094" max="14094" width="2.7109375" style="164" customWidth="1"/>
    <col min="14095" max="14095" width="2.28515625" style="164" customWidth="1"/>
    <col min="14096" max="14096" width="3.42578125" style="164" customWidth="1"/>
    <col min="14097" max="14097" width="20.140625" style="164" customWidth="1"/>
    <col min="14098" max="14098" width="1.5703125" style="164" customWidth="1"/>
    <col min="14099" max="14336" width="6.85546875" style="164"/>
    <col min="14337" max="14337" width="1.140625" style="164" customWidth="1"/>
    <col min="14338" max="14338" width="2.28515625" style="164" customWidth="1"/>
    <col min="14339" max="14339" width="8" style="164" customWidth="1"/>
    <col min="14340" max="14340" width="2.28515625" style="164" customWidth="1"/>
    <col min="14341" max="14341" width="1.140625" style="164" customWidth="1"/>
    <col min="14342" max="14342" width="14.85546875" style="164" customWidth="1"/>
    <col min="14343" max="14343" width="3.42578125" style="164" customWidth="1"/>
    <col min="14344" max="14344" width="2.28515625" style="164" customWidth="1"/>
    <col min="14345" max="14345" width="1.140625" style="164" customWidth="1"/>
    <col min="14346" max="14346" width="14.5703125" style="164" customWidth="1"/>
    <col min="14347" max="14347" width="10.28515625" style="164" customWidth="1"/>
    <col min="14348" max="14348" width="1.140625" style="164" customWidth="1"/>
    <col min="14349" max="14349" width="4.140625" style="164" customWidth="1"/>
    <col min="14350" max="14350" width="2.7109375" style="164" customWidth="1"/>
    <col min="14351" max="14351" width="2.28515625" style="164" customWidth="1"/>
    <col min="14352" max="14352" width="3.42578125" style="164" customWidth="1"/>
    <col min="14353" max="14353" width="20.140625" style="164" customWidth="1"/>
    <col min="14354" max="14354" width="1.5703125" style="164" customWidth="1"/>
    <col min="14355" max="14592" width="6.85546875" style="164"/>
    <col min="14593" max="14593" width="1.140625" style="164" customWidth="1"/>
    <col min="14594" max="14594" width="2.28515625" style="164" customWidth="1"/>
    <col min="14595" max="14595" width="8" style="164" customWidth="1"/>
    <col min="14596" max="14596" width="2.28515625" style="164" customWidth="1"/>
    <col min="14597" max="14597" width="1.140625" style="164" customWidth="1"/>
    <col min="14598" max="14598" width="14.85546875" style="164" customWidth="1"/>
    <col min="14599" max="14599" width="3.42578125" style="164" customWidth="1"/>
    <col min="14600" max="14600" width="2.28515625" style="164" customWidth="1"/>
    <col min="14601" max="14601" width="1.140625" style="164" customWidth="1"/>
    <col min="14602" max="14602" width="14.5703125" style="164" customWidth="1"/>
    <col min="14603" max="14603" width="10.28515625" style="164" customWidth="1"/>
    <col min="14604" max="14604" width="1.140625" style="164" customWidth="1"/>
    <col min="14605" max="14605" width="4.140625" style="164" customWidth="1"/>
    <col min="14606" max="14606" width="2.7109375" style="164" customWidth="1"/>
    <col min="14607" max="14607" width="2.28515625" style="164" customWidth="1"/>
    <col min="14608" max="14608" width="3.42578125" style="164" customWidth="1"/>
    <col min="14609" max="14609" width="20.140625" style="164" customWidth="1"/>
    <col min="14610" max="14610" width="1.5703125" style="164" customWidth="1"/>
    <col min="14611" max="14848" width="6.85546875" style="164"/>
    <col min="14849" max="14849" width="1.140625" style="164" customWidth="1"/>
    <col min="14850" max="14850" width="2.28515625" style="164" customWidth="1"/>
    <col min="14851" max="14851" width="8" style="164" customWidth="1"/>
    <col min="14852" max="14852" width="2.28515625" style="164" customWidth="1"/>
    <col min="14853" max="14853" width="1.140625" style="164" customWidth="1"/>
    <col min="14854" max="14854" width="14.85546875" style="164" customWidth="1"/>
    <col min="14855" max="14855" width="3.42578125" style="164" customWidth="1"/>
    <col min="14856" max="14856" width="2.28515625" style="164" customWidth="1"/>
    <col min="14857" max="14857" width="1.140625" style="164" customWidth="1"/>
    <col min="14858" max="14858" width="14.5703125" style="164" customWidth="1"/>
    <col min="14859" max="14859" width="10.28515625" style="164" customWidth="1"/>
    <col min="14860" max="14860" width="1.140625" style="164" customWidth="1"/>
    <col min="14861" max="14861" width="4.140625" style="164" customWidth="1"/>
    <col min="14862" max="14862" width="2.7109375" style="164" customWidth="1"/>
    <col min="14863" max="14863" width="2.28515625" style="164" customWidth="1"/>
    <col min="14864" max="14864" width="3.42578125" style="164" customWidth="1"/>
    <col min="14865" max="14865" width="20.140625" style="164" customWidth="1"/>
    <col min="14866" max="14866" width="1.5703125" style="164" customWidth="1"/>
    <col min="14867" max="15104" width="6.85546875" style="164"/>
    <col min="15105" max="15105" width="1.140625" style="164" customWidth="1"/>
    <col min="15106" max="15106" width="2.28515625" style="164" customWidth="1"/>
    <col min="15107" max="15107" width="8" style="164" customWidth="1"/>
    <col min="15108" max="15108" width="2.28515625" style="164" customWidth="1"/>
    <col min="15109" max="15109" width="1.140625" style="164" customWidth="1"/>
    <col min="15110" max="15110" width="14.85546875" style="164" customWidth="1"/>
    <col min="15111" max="15111" width="3.42578125" style="164" customWidth="1"/>
    <col min="15112" max="15112" width="2.28515625" style="164" customWidth="1"/>
    <col min="15113" max="15113" width="1.140625" style="164" customWidth="1"/>
    <col min="15114" max="15114" width="14.5703125" style="164" customWidth="1"/>
    <col min="15115" max="15115" width="10.28515625" style="164" customWidth="1"/>
    <col min="15116" max="15116" width="1.140625" style="164" customWidth="1"/>
    <col min="15117" max="15117" width="4.140625" style="164" customWidth="1"/>
    <col min="15118" max="15118" width="2.7109375" style="164" customWidth="1"/>
    <col min="15119" max="15119" width="2.28515625" style="164" customWidth="1"/>
    <col min="15120" max="15120" width="3.42578125" style="164" customWidth="1"/>
    <col min="15121" max="15121" width="20.140625" style="164" customWidth="1"/>
    <col min="15122" max="15122" width="1.5703125" style="164" customWidth="1"/>
    <col min="15123" max="15360" width="6.85546875" style="164"/>
    <col min="15361" max="15361" width="1.140625" style="164" customWidth="1"/>
    <col min="15362" max="15362" width="2.28515625" style="164" customWidth="1"/>
    <col min="15363" max="15363" width="8" style="164" customWidth="1"/>
    <col min="15364" max="15364" width="2.28515625" style="164" customWidth="1"/>
    <col min="15365" max="15365" width="1.140625" style="164" customWidth="1"/>
    <col min="15366" max="15366" width="14.85546875" style="164" customWidth="1"/>
    <col min="15367" max="15367" width="3.42578125" style="164" customWidth="1"/>
    <col min="15368" max="15368" width="2.28515625" style="164" customWidth="1"/>
    <col min="15369" max="15369" width="1.140625" style="164" customWidth="1"/>
    <col min="15370" max="15370" width="14.5703125" style="164" customWidth="1"/>
    <col min="15371" max="15371" width="10.28515625" style="164" customWidth="1"/>
    <col min="15372" max="15372" width="1.140625" style="164" customWidth="1"/>
    <col min="15373" max="15373" width="4.140625" style="164" customWidth="1"/>
    <col min="15374" max="15374" width="2.7109375" style="164" customWidth="1"/>
    <col min="15375" max="15375" width="2.28515625" style="164" customWidth="1"/>
    <col min="15376" max="15376" width="3.42578125" style="164" customWidth="1"/>
    <col min="15377" max="15377" width="20.140625" style="164" customWidth="1"/>
    <col min="15378" max="15378" width="1.5703125" style="164" customWidth="1"/>
    <col min="15379" max="15616" width="6.85546875" style="164"/>
    <col min="15617" max="15617" width="1.140625" style="164" customWidth="1"/>
    <col min="15618" max="15618" width="2.28515625" style="164" customWidth="1"/>
    <col min="15619" max="15619" width="8" style="164" customWidth="1"/>
    <col min="15620" max="15620" width="2.28515625" style="164" customWidth="1"/>
    <col min="15621" max="15621" width="1.140625" style="164" customWidth="1"/>
    <col min="15622" max="15622" width="14.85546875" style="164" customWidth="1"/>
    <col min="15623" max="15623" width="3.42578125" style="164" customWidth="1"/>
    <col min="15624" max="15624" width="2.28515625" style="164" customWidth="1"/>
    <col min="15625" max="15625" width="1.140625" style="164" customWidth="1"/>
    <col min="15626" max="15626" width="14.5703125" style="164" customWidth="1"/>
    <col min="15627" max="15627" width="10.28515625" style="164" customWidth="1"/>
    <col min="15628" max="15628" width="1.140625" style="164" customWidth="1"/>
    <col min="15629" max="15629" width="4.140625" style="164" customWidth="1"/>
    <col min="15630" max="15630" width="2.7109375" style="164" customWidth="1"/>
    <col min="15631" max="15631" width="2.28515625" style="164" customWidth="1"/>
    <col min="15632" max="15632" width="3.42578125" style="164" customWidth="1"/>
    <col min="15633" max="15633" width="20.140625" style="164" customWidth="1"/>
    <col min="15634" max="15634" width="1.5703125" style="164" customWidth="1"/>
    <col min="15635" max="15872" width="6.85546875" style="164"/>
    <col min="15873" max="15873" width="1.140625" style="164" customWidth="1"/>
    <col min="15874" max="15874" width="2.28515625" style="164" customWidth="1"/>
    <col min="15875" max="15875" width="8" style="164" customWidth="1"/>
    <col min="15876" max="15876" width="2.28515625" style="164" customWidth="1"/>
    <col min="15877" max="15877" width="1.140625" style="164" customWidth="1"/>
    <col min="15878" max="15878" width="14.85546875" style="164" customWidth="1"/>
    <col min="15879" max="15879" width="3.42578125" style="164" customWidth="1"/>
    <col min="15880" max="15880" width="2.28515625" style="164" customWidth="1"/>
    <col min="15881" max="15881" width="1.140625" style="164" customWidth="1"/>
    <col min="15882" max="15882" width="14.5703125" style="164" customWidth="1"/>
    <col min="15883" max="15883" width="10.28515625" style="164" customWidth="1"/>
    <col min="15884" max="15884" width="1.140625" style="164" customWidth="1"/>
    <col min="15885" max="15885" width="4.140625" style="164" customWidth="1"/>
    <col min="15886" max="15886" width="2.7109375" style="164" customWidth="1"/>
    <col min="15887" max="15887" width="2.28515625" style="164" customWidth="1"/>
    <col min="15888" max="15888" width="3.42578125" style="164" customWidth="1"/>
    <col min="15889" max="15889" width="20.140625" style="164" customWidth="1"/>
    <col min="15890" max="15890" width="1.5703125" style="164" customWidth="1"/>
    <col min="15891" max="16128" width="6.85546875" style="164"/>
    <col min="16129" max="16129" width="1.140625" style="164" customWidth="1"/>
    <col min="16130" max="16130" width="2.28515625" style="164" customWidth="1"/>
    <col min="16131" max="16131" width="8" style="164" customWidth="1"/>
    <col min="16132" max="16132" width="2.28515625" style="164" customWidth="1"/>
    <col min="16133" max="16133" width="1.140625" style="164" customWidth="1"/>
    <col min="16134" max="16134" width="14.85546875" style="164" customWidth="1"/>
    <col min="16135" max="16135" width="3.42578125" style="164" customWidth="1"/>
    <col min="16136" max="16136" width="2.28515625" style="164" customWidth="1"/>
    <col min="16137" max="16137" width="1.140625" style="164" customWidth="1"/>
    <col min="16138" max="16138" width="14.5703125" style="164" customWidth="1"/>
    <col min="16139" max="16139" width="10.28515625" style="164" customWidth="1"/>
    <col min="16140" max="16140" width="1.140625" style="164" customWidth="1"/>
    <col min="16141" max="16141" width="4.140625" style="164" customWidth="1"/>
    <col min="16142" max="16142" width="2.7109375" style="164" customWidth="1"/>
    <col min="16143" max="16143" width="2.28515625" style="164" customWidth="1"/>
    <col min="16144" max="16144" width="3.42578125" style="164" customWidth="1"/>
    <col min="16145" max="16145" width="20.140625" style="164" customWidth="1"/>
    <col min="16146" max="16146" width="1.5703125" style="164" customWidth="1"/>
    <col min="16147" max="16384" width="6.85546875" style="164"/>
  </cols>
  <sheetData>
    <row r="1" spans="1:18" ht="13.5" customHeight="1" x14ac:dyDescent="0.25">
      <c r="A1" s="224" t="s">
        <v>240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ht="6" customHeight="1" x14ac:dyDescent="0.25"/>
    <row r="3" spans="1:18" ht="57" customHeight="1" x14ac:dyDescent="0.25"/>
    <row r="4" spans="1:18" ht="15.75" customHeight="1" x14ac:dyDescent="0.25">
      <c r="A4" s="224" t="s">
        <v>241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ht="6" customHeight="1" x14ac:dyDescent="0.25"/>
    <row r="6" spans="1:18" ht="16.5" customHeight="1" x14ac:dyDescent="0.25">
      <c r="A6" s="224" t="s">
        <v>291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6" customHeight="1" x14ac:dyDescent="0.25"/>
    <row r="8" spans="1:18" ht="18.75" customHeight="1" x14ac:dyDescent="0.25">
      <c r="A8" s="220" t="s">
        <v>261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N8" s="223" t="s">
        <v>262</v>
      </c>
      <c r="O8" s="223"/>
      <c r="P8" s="223"/>
      <c r="Q8" s="223"/>
    </row>
    <row r="9" spans="1:18" ht="21.75" customHeight="1" x14ac:dyDescent="0.25"/>
    <row r="10" spans="1:18" ht="16.5" customHeight="1" x14ac:dyDescent="0.25">
      <c r="B10" s="217" t="s">
        <v>290</v>
      </c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Q10" s="167">
        <v>436112655.56</v>
      </c>
    </row>
    <row r="11" spans="1:18" ht="13.5" customHeight="1" x14ac:dyDescent="0.25">
      <c r="C11" s="166" t="s">
        <v>244</v>
      </c>
    </row>
    <row r="12" spans="1:18" ht="9" customHeight="1" x14ac:dyDescent="0.25"/>
    <row r="13" spans="1:18" ht="13.5" customHeight="1" x14ac:dyDescent="0.25">
      <c r="C13" s="217" t="s">
        <v>245</v>
      </c>
      <c r="D13" s="217"/>
      <c r="E13" s="217"/>
      <c r="F13" s="217"/>
      <c r="G13" s="217"/>
      <c r="H13" s="217"/>
      <c r="J13" s="219">
        <v>0</v>
      </c>
      <c r="K13" s="219"/>
      <c r="L13" s="219"/>
      <c r="M13" s="219"/>
      <c r="N13" s="219"/>
    </row>
    <row r="14" spans="1:18" ht="18" customHeight="1" x14ac:dyDescent="0.25"/>
    <row r="15" spans="1:18" ht="13.5" customHeight="1" x14ac:dyDescent="0.25">
      <c r="C15" s="217" t="s">
        <v>246</v>
      </c>
      <c r="D15" s="217"/>
      <c r="E15" s="217"/>
      <c r="F15" s="217"/>
      <c r="G15" s="217"/>
      <c r="H15" s="217"/>
      <c r="J15" s="219">
        <v>0</v>
      </c>
      <c r="K15" s="219"/>
      <c r="L15" s="219"/>
      <c r="M15" s="219"/>
      <c r="N15" s="219"/>
    </row>
    <row r="16" spans="1:18" ht="6" customHeight="1" x14ac:dyDescent="0.25"/>
    <row r="17" spans="2:17" ht="13.5" customHeight="1" x14ac:dyDescent="0.25">
      <c r="C17" s="217" t="s">
        <v>247</v>
      </c>
      <c r="D17" s="217"/>
      <c r="E17" s="217"/>
      <c r="F17" s="217"/>
      <c r="G17" s="217"/>
      <c r="H17" s="217"/>
      <c r="Q17" s="165" t="s">
        <v>248</v>
      </c>
    </row>
    <row r="18" spans="2:17" ht="12" customHeight="1" x14ac:dyDescent="0.25"/>
    <row r="19" spans="2:17" ht="13.5" customHeight="1" x14ac:dyDescent="0.25">
      <c r="Q19" s="167">
        <v>436112655.56</v>
      </c>
    </row>
    <row r="20" spans="2:17" ht="9" customHeight="1" x14ac:dyDescent="0.25"/>
    <row r="21" spans="2:17" ht="13.5" customHeight="1" x14ac:dyDescent="0.25">
      <c r="C21" s="166" t="s">
        <v>249</v>
      </c>
    </row>
    <row r="22" spans="2:17" ht="9" customHeight="1" x14ac:dyDescent="0.25"/>
    <row r="23" spans="2:17" ht="13.5" customHeight="1" x14ac:dyDescent="0.25">
      <c r="C23" s="217" t="s">
        <v>250</v>
      </c>
      <c r="D23" s="217"/>
      <c r="E23" s="217"/>
      <c r="F23" s="217"/>
      <c r="G23" s="217"/>
      <c r="H23" s="217"/>
      <c r="J23" s="219">
        <v>0</v>
      </c>
      <c r="K23" s="219"/>
      <c r="L23" s="219"/>
      <c r="M23" s="219"/>
      <c r="N23" s="219"/>
    </row>
    <row r="24" spans="2:17" ht="12" customHeight="1" x14ac:dyDescent="0.25"/>
    <row r="25" spans="2:17" ht="13.5" customHeight="1" x14ac:dyDescent="0.25">
      <c r="C25" s="217" t="s">
        <v>251</v>
      </c>
      <c r="D25" s="217"/>
      <c r="E25" s="217"/>
      <c r="F25" s="217"/>
      <c r="G25" s="217"/>
      <c r="H25" s="217"/>
      <c r="J25" s="219">
        <v>0</v>
      </c>
      <c r="K25" s="219"/>
      <c r="L25" s="219"/>
      <c r="M25" s="219"/>
      <c r="N25" s="219"/>
    </row>
    <row r="26" spans="2:17" ht="12" customHeight="1" x14ac:dyDescent="0.25"/>
    <row r="27" spans="2:17" ht="13.5" customHeight="1" x14ac:dyDescent="0.25">
      <c r="C27" s="217" t="s">
        <v>252</v>
      </c>
      <c r="D27" s="217"/>
      <c r="E27" s="217"/>
      <c r="F27" s="217"/>
      <c r="G27" s="217"/>
      <c r="H27" s="217"/>
      <c r="Q27" s="165" t="s">
        <v>253</v>
      </c>
    </row>
    <row r="28" spans="2:17" ht="42" customHeight="1" x14ac:dyDescent="0.25"/>
    <row r="29" spans="2:17" ht="13.5" customHeight="1" x14ac:dyDescent="0.25">
      <c r="B29" s="217" t="s">
        <v>254</v>
      </c>
      <c r="C29" s="217"/>
      <c r="D29" s="217"/>
      <c r="E29" s="217"/>
      <c r="F29" s="217"/>
      <c r="G29" s="217"/>
      <c r="Q29" s="168">
        <v>436112655.56</v>
      </c>
    </row>
    <row r="30" spans="2:17" ht="12" customHeight="1" x14ac:dyDescent="0.25"/>
    <row r="31" spans="2:17" ht="13.5" customHeight="1" x14ac:dyDescent="0.25">
      <c r="B31" s="217" t="s">
        <v>255</v>
      </c>
      <c r="C31" s="217"/>
      <c r="D31" s="217"/>
      <c r="E31" s="217"/>
      <c r="F31" s="217"/>
      <c r="G31" s="217"/>
      <c r="Q31" s="168">
        <v>436112655.56</v>
      </c>
    </row>
    <row r="32" spans="2:17" ht="27.75" customHeight="1" x14ac:dyDescent="0.25"/>
    <row r="33" spans="1:21" ht="12" customHeight="1" x14ac:dyDescent="0.25"/>
    <row r="34" spans="1:21" ht="13.5" customHeight="1" x14ac:dyDescent="0.25">
      <c r="B34" s="220" t="s">
        <v>256</v>
      </c>
      <c r="C34" s="220"/>
      <c r="D34" s="220"/>
      <c r="F34" s="221"/>
      <c r="G34" s="221"/>
      <c r="H34" s="221"/>
      <c r="I34" s="221"/>
      <c r="J34" s="221"/>
    </row>
    <row r="35" spans="1:21" ht="18" customHeight="1" x14ac:dyDescent="0.25"/>
    <row r="36" spans="1:21" ht="13.5" customHeight="1" x14ac:dyDescent="0.25">
      <c r="B36" s="220" t="s">
        <v>257</v>
      </c>
      <c r="C36" s="220"/>
      <c r="D36" s="220"/>
      <c r="F36" s="221"/>
      <c r="G36" s="221"/>
      <c r="H36" s="221"/>
      <c r="I36" s="221"/>
      <c r="J36" s="221"/>
      <c r="M36" s="222" t="s">
        <v>258</v>
      </c>
      <c r="N36" s="222"/>
      <c r="O36" s="222"/>
      <c r="P36" s="222"/>
      <c r="Q36" s="222"/>
    </row>
    <row r="37" spans="1:21" ht="8.25" customHeight="1" x14ac:dyDescent="0.25"/>
    <row r="38" spans="1:21" ht="169.5" customHeight="1" x14ac:dyDescent="0.25"/>
    <row r="39" spans="1:21" ht="6" customHeight="1" x14ac:dyDescent="0.25"/>
    <row r="40" spans="1:21" ht="13.5" customHeight="1" x14ac:dyDescent="0.25">
      <c r="A40" s="217"/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23" t="s">
        <v>289</v>
      </c>
      <c r="N40" s="223"/>
      <c r="O40" s="223"/>
      <c r="P40" s="223"/>
      <c r="Q40" s="223"/>
      <c r="R40" s="223"/>
      <c r="S40" s="223"/>
      <c r="T40" s="223"/>
      <c r="U40" s="223"/>
    </row>
    <row r="41" spans="1:21" ht="13.5" customHeight="1" x14ac:dyDescent="0.25">
      <c r="A41" s="217" t="s">
        <v>259</v>
      </c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P41" s="218" t="s">
        <v>260</v>
      </c>
      <c r="Q41" s="218"/>
      <c r="R41" s="218"/>
    </row>
  </sheetData>
  <mergeCells count="27">
    <mergeCell ref="C23:H23"/>
    <mergeCell ref="J23:N23"/>
    <mergeCell ref="A1:R1"/>
    <mergeCell ref="A4:R4"/>
    <mergeCell ref="A6:R6"/>
    <mergeCell ref="A8:K8"/>
    <mergeCell ref="N8:Q8"/>
    <mergeCell ref="B10:N10"/>
    <mergeCell ref="C13:H13"/>
    <mergeCell ref="J13:N13"/>
    <mergeCell ref="C15:H15"/>
    <mergeCell ref="J15:N15"/>
    <mergeCell ref="C17:H17"/>
    <mergeCell ref="A41:L41"/>
    <mergeCell ref="P41:R41"/>
    <mergeCell ref="C25:H25"/>
    <mergeCell ref="J25:N25"/>
    <mergeCell ref="C27:H27"/>
    <mergeCell ref="B29:G29"/>
    <mergeCell ref="B31:G31"/>
    <mergeCell ref="B34:D34"/>
    <mergeCell ref="F34:J34"/>
    <mergeCell ref="B36:D36"/>
    <mergeCell ref="F36:J36"/>
    <mergeCell ref="M36:Q36"/>
    <mergeCell ref="A40:L40"/>
    <mergeCell ref="M40:U40"/>
  </mergeCells>
  <pageMargins left="1.2" right="0.8" top="1" bottom="0.5" header="0" footer="0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autoPageBreaks="0"/>
  </sheetPr>
  <dimension ref="A1:U41"/>
  <sheetViews>
    <sheetView showGridLines="0" workbookViewId="0">
      <selection activeCell="W41" sqref="W41"/>
    </sheetView>
  </sheetViews>
  <sheetFormatPr defaultColWidth="6.85546875" defaultRowHeight="12.75" customHeight="1" x14ac:dyDescent="0.25"/>
  <cols>
    <col min="1" max="1" width="1.140625" style="164" customWidth="1"/>
    <col min="2" max="2" width="2.28515625" style="164" customWidth="1"/>
    <col min="3" max="3" width="8" style="164" customWidth="1"/>
    <col min="4" max="4" width="2.28515625" style="164" customWidth="1"/>
    <col min="5" max="5" width="1.140625" style="164" customWidth="1"/>
    <col min="6" max="6" width="14.85546875" style="164" customWidth="1"/>
    <col min="7" max="7" width="3.42578125" style="164" customWidth="1"/>
    <col min="8" max="8" width="2.28515625" style="164" customWidth="1"/>
    <col min="9" max="9" width="1.140625" style="164" customWidth="1"/>
    <col min="10" max="10" width="14.5703125" style="164" customWidth="1"/>
    <col min="11" max="11" width="17.140625" style="164" customWidth="1"/>
    <col min="12" max="12" width="1.140625" style="164" customWidth="1"/>
    <col min="13" max="13" width="4.140625" style="164" customWidth="1"/>
    <col min="14" max="14" width="2.7109375" style="164" customWidth="1"/>
    <col min="15" max="15" width="2.28515625" style="164" customWidth="1"/>
    <col min="16" max="16" width="3.42578125" style="164" customWidth="1"/>
    <col min="17" max="17" width="20.140625" style="164" customWidth="1"/>
    <col min="18" max="18" width="1.5703125" style="164" customWidth="1"/>
    <col min="19" max="256" width="6.85546875" style="164"/>
    <col min="257" max="257" width="1.140625" style="164" customWidth="1"/>
    <col min="258" max="258" width="2.28515625" style="164" customWidth="1"/>
    <col min="259" max="259" width="8" style="164" customWidth="1"/>
    <col min="260" max="260" width="2.28515625" style="164" customWidth="1"/>
    <col min="261" max="261" width="1.140625" style="164" customWidth="1"/>
    <col min="262" max="262" width="14.85546875" style="164" customWidth="1"/>
    <col min="263" max="263" width="3.42578125" style="164" customWidth="1"/>
    <col min="264" max="264" width="2.28515625" style="164" customWidth="1"/>
    <col min="265" max="265" width="1.140625" style="164" customWidth="1"/>
    <col min="266" max="266" width="14.5703125" style="164" customWidth="1"/>
    <col min="267" max="267" width="10.28515625" style="164" customWidth="1"/>
    <col min="268" max="268" width="1.140625" style="164" customWidth="1"/>
    <col min="269" max="269" width="4.140625" style="164" customWidth="1"/>
    <col min="270" max="270" width="2.7109375" style="164" customWidth="1"/>
    <col min="271" max="271" width="2.28515625" style="164" customWidth="1"/>
    <col min="272" max="272" width="3.42578125" style="164" customWidth="1"/>
    <col min="273" max="273" width="20.140625" style="164" customWidth="1"/>
    <col min="274" max="274" width="1.5703125" style="164" customWidth="1"/>
    <col min="275" max="512" width="6.85546875" style="164"/>
    <col min="513" max="513" width="1.140625" style="164" customWidth="1"/>
    <col min="514" max="514" width="2.28515625" style="164" customWidth="1"/>
    <col min="515" max="515" width="8" style="164" customWidth="1"/>
    <col min="516" max="516" width="2.28515625" style="164" customWidth="1"/>
    <col min="517" max="517" width="1.140625" style="164" customWidth="1"/>
    <col min="518" max="518" width="14.85546875" style="164" customWidth="1"/>
    <col min="519" max="519" width="3.42578125" style="164" customWidth="1"/>
    <col min="520" max="520" width="2.28515625" style="164" customWidth="1"/>
    <col min="521" max="521" width="1.140625" style="164" customWidth="1"/>
    <col min="522" max="522" width="14.5703125" style="164" customWidth="1"/>
    <col min="523" max="523" width="10.28515625" style="164" customWidth="1"/>
    <col min="524" max="524" width="1.140625" style="164" customWidth="1"/>
    <col min="525" max="525" width="4.140625" style="164" customWidth="1"/>
    <col min="526" max="526" width="2.7109375" style="164" customWidth="1"/>
    <col min="527" max="527" width="2.28515625" style="164" customWidth="1"/>
    <col min="528" max="528" width="3.42578125" style="164" customWidth="1"/>
    <col min="529" max="529" width="20.140625" style="164" customWidth="1"/>
    <col min="530" max="530" width="1.5703125" style="164" customWidth="1"/>
    <col min="531" max="768" width="6.85546875" style="164"/>
    <col min="769" max="769" width="1.140625" style="164" customWidth="1"/>
    <col min="770" max="770" width="2.28515625" style="164" customWidth="1"/>
    <col min="771" max="771" width="8" style="164" customWidth="1"/>
    <col min="772" max="772" width="2.28515625" style="164" customWidth="1"/>
    <col min="773" max="773" width="1.140625" style="164" customWidth="1"/>
    <col min="774" max="774" width="14.85546875" style="164" customWidth="1"/>
    <col min="775" max="775" width="3.42578125" style="164" customWidth="1"/>
    <col min="776" max="776" width="2.28515625" style="164" customWidth="1"/>
    <col min="777" max="777" width="1.140625" style="164" customWidth="1"/>
    <col min="778" max="778" width="14.5703125" style="164" customWidth="1"/>
    <col min="779" max="779" width="10.28515625" style="164" customWidth="1"/>
    <col min="780" max="780" width="1.140625" style="164" customWidth="1"/>
    <col min="781" max="781" width="4.140625" style="164" customWidth="1"/>
    <col min="782" max="782" width="2.7109375" style="164" customWidth="1"/>
    <col min="783" max="783" width="2.28515625" style="164" customWidth="1"/>
    <col min="784" max="784" width="3.42578125" style="164" customWidth="1"/>
    <col min="785" max="785" width="20.140625" style="164" customWidth="1"/>
    <col min="786" max="786" width="1.5703125" style="164" customWidth="1"/>
    <col min="787" max="1024" width="6.85546875" style="164"/>
    <col min="1025" max="1025" width="1.140625" style="164" customWidth="1"/>
    <col min="1026" max="1026" width="2.28515625" style="164" customWidth="1"/>
    <col min="1027" max="1027" width="8" style="164" customWidth="1"/>
    <col min="1028" max="1028" width="2.28515625" style="164" customWidth="1"/>
    <col min="1029" max="1029" width="1.140625" style="164" customWidth="1"/>
    <col min="1030" max="1030" width="14.85546875" style="164" customWidth="1"/>
    <col min="1031" max="1031" width="3.42578125" style="164" customWidth="1"/>
    <col min="1032" max="1032" width="2.28515625" style="164" customWidth="1"/>
    <col min="1033" max="1033" width="1.140625" style="164" customWidth="1"/>
    <col min="1034" max="1034" width="14.5703125" style="164" customWidth="1"/>
    <col min="1035" max="1035" width="10.28515625" style="164" customWidth="1"/>
    <col min="1036" max="1036" width="1.140625" style="164" customWidth="1"/>
    <col min="1037" max="1037" width="4.140625" style="164" customWidth="1"/>
    <col min="1038" max="1038" width="2.7109375" style="164" customWidth="1"/>
    <col min="1039" max="1039" width="2.28515625" style="164" customWidth="1"/>
    <col min="1040" max="1040" width="3.42578125" style="164" customWidth="1"/>
    <col min="1041" max="1041" width="20.140625" style="164" customWidth="1"/>
    <col min="1042" max="1042" width="1.5703125" style="164" customWidth="1"/>
    <col min="1043" max="1280" width="6.85546875" style="164"/>
    <col min="1281" max="1281" width="1.140625" style="164" customWidth="1"/>
    <col min="1282" max="1282" width="2.28515625" style="164" customWidth="1"/>
    <col min="1283" max="1283" width="8" style="164" customWidth="1"/>
    <col min="1284" max="1284" width="2.28515625" style="164" customWidth="1"/>
    <col min="1285" max="1285" width="1.140625" style="164" customWidth="1"/>
    <col min="1286" max="1286" width="14.85546875" style="164" customWidth="1"/>
    <col min="1287" max="1287" width="3.42578125" style="164" customWidth="1"/>
    <col min="1288" max="1288" width="2.28515625" style="164" customWidth="1"/>
    <col min="1289" max="1289" width="1.140625" style="164" customWidth="1"/>
    <col min="1290" max="1290" width="14.5703125" style="164" customWidth="1"/>
    <col min="1291" max="1291" width="10.28515625" style="164" customWidth="1"/>
    <col min="1292" max="1292" width="1.140625" style="164" customWidth="1"/>
    <col min="1293" max="1293" width="4.140625" style="164" customWidth="1"/>
    <col min="1294" max="1294" width="2.7109375" style="164" customWidth="1"/>
    <col min="1295" max="1295" width="2.28515625" style="164" customWidth="1"/>
    <col min="1296" max="1296" width="3.42578125" style="164" customWidth="1"/>
    <col min="1297" max="1297" width="20.140625" style="164" customWidth="1"/>
    <col min="1298" max="1298" width="1.5703125" style="164" customWidth="1"/>
    <col min="1299" max="1536" width="6.85546875" style="164"/>
    <col min="1537" max="1537" width="1.140625" style="164" customWidth="1"/>
    <col min="1538" max="1538" width="2.28515625" style="164" customWidth="1"/>
    <col min="1539" max="1539" width="8" style="164" customWidth="1"/>
    <col min="1540" max="1540" width="2.28515625" style="164" customWidth="1"/>
    <col min="1541" max="1541" width="1.140625" style="164" customWidth="1"/>
    <col min="1542" max="1542" width="14.85546875" style="164" customWidth="1"/>
    <col min="1543" max="1543" width="3.42578125" style="164" customWidth="1"/>
    <col min="1544" max="1544" width="2.28515625" style="164" customWidth="1"/>
    <col min="1545" max="1545" width="1.140625" style="164" customWidth="1"/>
    <col min="1546" max="1546" width="14.5703125" style="164" customWidth="1"/>
    <col min="1547" max="1547" width="10.28515625" style="164" customWidth="1"/>
    <col min="1548" max="1548" width="1.140625" style="164" customWidth="1"/>
    <col min="1549" max="1549" width="4.140625" style="164" customWidth="1"/>
    <col min="1550" max="1550" width="2.7109375" style="164" customWidth="1"/>
    <col min="1551" max="1551" width="2.28515625" style="164" customWidth="1"/>
    <col min="1552" max="1552" width="3.42578125" style="164" customWidth="1"/>
    <col min="1553" max="1553" width="20.140625" style="164" customWidth="1"/>
    <col min="1554" max="1554" width="1.5703125" style="164" customWidth="1"/>
    <col min="1555" max="1792" width="6.85546875" style="164"/>
    <col min="1793" max="1793" width="1.140625" style="164" customWidth="1"/>
    <col min="1794" max="1794" width="2.28515625" style="164" customWidth="1"/>
    <col min="1795" max="1795" width="8" style="164" customWidth="1"/>
    <col min="1796" max="1796" width="2.28515625" style="164" customWidth="1"/>
    <col min="1797" max="1797" width="1.140625" style="164" customWidth="1"/>
    <col min="1798" max="1798" width="14.85546875" style="164" customWidth="1"/>
    <col min="1799" max="1799" width="3.42578125" style="164" customWidth="1"/>
    <col min="1800" max="1800" width="2.28515625" style="164" customWidth="1"/>
    <col min="1801" max="1801" width="1.140625" style="164" customWidth="1"/>
    <col min="1802" max="1802" width="14.5703125" style="164" customWidth="1"/>
    <col min="1803" max="1803" width="10.28515625" style="164" customWidth="1"/>
    <col min="1804" max="1804" width="1.140625" style="164" customWidth="1"/>
    <col min="1805" max="1805" width="4.140625" style="164" customWidth="1"/>
    <col min="1806" max="1806" width="2.7109375" style="164" customWidth="1"/>
    <col min="1807" max="1807" width="2.28515625" style="164" customWidth="1"/>
    <col min="1808" max="1808" width="3.42578125" style="164" customWidth="1"/>
    <col min="1809" max="1809" width="20.140625" style="164" customWidth="1"/>
    <col min="1810" max="1810" width="1.5703125" style="164" customWidth="1"/>
    <col min="1811" max="2048" width="6.85546875" style="164"/>
    <col min="2049" max="2049" width="1.140625" style="164" customWidth="1"/>
    <col min="2050" max="2050" width="2.28515625" style="164" customWidth="1"/>
    <col min="2051" max="2051" width="8" style="164" customWidth="1"/>
    <col min="2052" max="2052" width="2.28515625" style="164" customWidth="1"/>
    <col min="2053" max="2053" width="1.140625" style="164" customWidth="1"/>
    <col min="2054" max="2054" width="14.85546875" style="164" customWidth="1"/>
    <col min="2055" max="2055" width="3.42578125" style="164" customWidth="1"/>
    <col min="2056" max="2056" width="2.28515625" style="164" customWidth="1"/>
    <col min="2057" max="2057" width="1.140625" style="164" customWidth="1"/>
    <col min="2058" max="2058" width="14.5703125" style="164" customWidth="1"/>
    <col min="2059" max="2059" width="10.28515625" style="164" customWidth="1"/>
    <col min="2060" max="2060" width="1.140625" style="164" customWidth="1"/>
    <col min="2061" max="2061" width="4.140625" style="164" customWidth="1"/>
    <col min="2062" max="2062" width="2.7109375" style="164" customWidth="1"/>
    <col min="2063" max="2063" width="2.28515625" style="164" customWidth="1"/>
    <col min="2064" max="2064" width="3.42578125" style="164" customWidth="1"/>
    <col min="2065" max="2065" width="20.140625" style="164" customWidth="1"/>
    <col min="2066" max="2066" width="1.5703125" style="164" customWidth="1"/>
    <col min="2067" max="2304" width="6.85546875" style="164"/>
    <col min="2305" max="2305" width="1.140625" style="164" customWidth="1"/>
    <col min="2306" max="2306" width="2.28515625" style="164" customWidth="1"/>
    <col min="2307" max="2307" width="8" style="164" customWidth="1"/>
    <col min="2308" max="2308" width="2.28515625" style="164" customWidth="1"/>
    <col min="2309" max="2309" width="1.140625" style="164" customWidth="1"/>
    <col min="2310" max="2310" width="14.85546875" style="164" customWidth="1"/>
    <col min="2311" max="2311" width="3.42578125" style="164" customWidth="1"/>
    <col min="2312" max="2312" width="2.28515625" style="164" customWidth="1"/>
    <col min="2313" max="2313" width="1.140625" style="164" customWidth="1"/>
    <col min="2314" max="2314" width="14.5703125" style="164" customWidth="1"/>
    <col min="2315" max="2315" width="10.28515625" style="164" customWidth="1"/>
    <col min="2316" max="2316" width="1.140625" style="164" customWidth="1"/>
    <col min="2317" max="2317" width="4.140625" style="164" customWidth="1"/>
    <col min="2318" max="2318" width="2.7109375" style="164" customWidth="1"/>
    <col min="2319" max="2319" width="2.28515625" style="164" customWidth="1"/>
    <col min="2320" max="2320" width="3.42578125" style="164" customWidth="1"/>
    <col min="2321" max="2321" width="20.140625" style="164" customWidth="1"/>
    <col min="2322" max="2322" width="1.5703125" style="164" customWidth="1"/>
    <col min="2323" max="2560" width="6.85546875" style="164"/>
    <col min="2561" max="2561" width="1.140625" style="164" customWidth="1"/>
    <col min="2562" max="2562" width="2.28515625" style="164" customWidth="1"/>
    <col min="2563" max="2563" width="8" style="164" customWidth="1"/>
    <col min="2564" max="2564" width="2.28515625" style="164" customWidth="1"/>
    <col min="2565" max="2565" width="1.140625" style="164" customWidth="1"/>
    <col min="2566" max="2566" width="14.85546875" style="164" customWidth="1"/>
    <col min="2567" max="2567" width="3.42578125" style="164" customWidth="1"/>
    <col min="2568" max="2568" width="2.28515625" style="164" customWidth="1"/>
    <col min="2569" max="2569" width="1.140625" style="164" customWidth="1"/>
    <col min="2570" max="2570" width="14.5703125" style="164" customWidth="1"/>
    <col min="2571" max="2571" width="10.28515625" style="164" customWidth="1"/>
    <col min="2572" max="2572" width="1.140625" style="164" customWidth="1"/>
    <col min="2573" max="2573" width="4.140625" style="164" customWidth="1"/>
    <col min="2574" max="2574" width="2.7109375" style="164" customWidth="1"/>
    <col min="2575" max="2575" width="2.28515625" style="164" customWidth="1"/>
    <col min="2576" max="2576" width="3.42578125" style="164" customWidth="1"/>
    <col min="2577" max="2577" width="20.140625" style="164" customWidth="1"/>
    <col min="2578" max="2578" width="1.5703125" style="164" customWidth="1"/>
    <col min="2579" max="2816" width="6.85546875" style="164"/>
    <col min="2817" max="2817" width="1.140625" style="164" customWidth="1"/>
    <col min="2818" max="2818" width="2.28515625" style="164" customWidth="1"/>
    <col min="2819" max="2819" width="8" style="164" customWidth="1"/>
    <col min="2820" max="2820" width="2.28515625" style="164" customWidth="1"/>
    <col min="2821" max="2821" width="1.140625" style="164" customWidth="1"/>
    <col min="2822" max="2822" width="14.85546875" style="164" customWidth="1"/>
    <col min="2823" max="2823" width="3.42578125" style="164" customWidth="1"/>
    <col min="2824" max="2824" width="2.28515625" style="164" customWidth="1"/>
    <col min="2825" max="2825" width="1.140625" style="164" customWidth="1"/>
    <col min="2826" max="2826" width="14.5703125" style="164" customWidth="1"/>
    <col min="2827" max="2827" width="10.28515625" style="164" customWidth="1"/>
    <col min="2828" max="2828" width="1.140625" style="164" customWidth="1"/>
    <col min="2829" max="2829" width="4.140625" style="164" customWidth="1"/>
    <col min="2830" max="2830" width="2.7109375" style="164" customWidth="1"/>
    <col min="2831" max="2831" width="2.28515625" style="164" customWidth="1"/>
    <col min="2832" max="2832" width="3.42578125" style="164" customWidth="1"/>
    <col min="2833" max="2833" width="20.140625" style="164" customWidth="1"/>
    <col min="2834" max="2834" width="1.5703125" style="164" customWidth="1"/>
    <col min="2835" max="3072" width="6.85546875" style="164"/>
    <col min="3073" max="3073" width="1.140625" style="164" customWidth="1"/>
    <col min="3074" max="3074" width="2.28515625" style="164" customWidth="1"/>
    <col min="3075" max="3075" width="8" style="164" customWidth="1"/>
    <col min="3076" max="3076" width="2.28515625" style="164" customWidth="1"/>
    <col min="3077" max="3077" width="1.140625" style="164" customWidth="1"/>
    <col min="3078" max="3078" width="14.85546875" style="164" customWidth="1"/>
    <col min="3079" max="3079" width="3.42578125" style="164" customWidth="1"/>
    <col min="3080" max="3080" width="2.28515625" style="164" customWidth="1"/>
    <col min="3081" max="3081" width="1.140625" style="164" customWidth="1"/>
    <col min="3082" max="3082" width="14.5703125" style="164" customWidth="1"/>
    <col min="3083" max="3083" width="10.28515625" style="164" customWidth="1"/>
    <col min="3084" max="3084" width="1.140625" style="164" customWidth="1"/>
    <col min="3085" max="3085" width="4.140625" style="164" customWidth="1"/>
    <col min="3086" max="3086" width="2.7109375" style="164" customWidth="1"/>
    <col min="3087" max="3087" width="2.28515625" style="164" customWidth="1"/>
    <col min="3088" max="3088" width="3.42578125" style="164" customWidth="1"/>
    <col min="3089" max="3089" width="20.140625" style="164" customWidth="1"/>
    <col min="3090" max="3090" width="1.5703125" style="164" customWidth="1"/>
    <col min="3091" max="3328" width="6.85546875" style="164"/>
    <col min="3329" max="3329" width="1.140625" style="164" customWidth="1"/>
    <col min="3330" max="3330" width="2.28515625" style="164" customWidth="1"/>
    <col min="3331" max="3331" width="8" style="164" customWidth="1"/>
    <col min="3332" max="3332" width="2.28515625" style="164" customWidth="1"/>
    <col min="3333" max="3333" width="1.140625" style="164" customWidth="1"/>
    <col min="3334" max="3334" width="14.85546875" style="164" customWidth="1"/>
    <col min="3335" max="3335" width="3.42578125" style="164" customWidth="1"/>
    <col min="3336" max="3336" width="2.28515625" style="164" customWidth="1"/>
    <col min="3337" max="3337" width="1.140625" style="164" customWidth="1"/>
    <col min="3338" max="3338" width="14.5703125" style="164" customWidth="1"/>
    <col min="3339" max="3339" width="10.28515625" style="164" customWidth="1"/>
    <col min="3340" max="3340" width="1.140625" style="164" customWidth="1"/>
    <col min="3341" max="3341" width="4.140625" style="164" customWidth="1"/>
    <col min="3342" max="3342" width="2.7109375" style="164" customWidth="1"/>
    <col min="3343" max="3343" width="2.28515625" style="164" customWidth="1"/>
    <col min="3344" max="3344" width="3.42578125" style="164" customWidth="1"/>
    <col min="3345" max="3345" width="20.140625" style="164" customWidth="1"/>
    <col min="3346" max="3346" width="1.5703125" style="164" customWidth="1"/>
    <col min="3347" max="3584" width="6.85546875" style="164"/>
    <col min="3585" max="3585" width="1.140625" style="164" customWidth="1"/>
    <col min="3586" max="3586" width="2.28515625" style="164" customWidth="1"/>
    <col min="3587" max="3587" width="8" style="164" customWidth="1"/>
    <col min="3588" max="3588" width="2.28515625" style="164" customWidth="1"/>
    <col min="3589" max="3589" width="1.140625" style="164" customWidth="1"/>
    <col min="3590" max="3590" width="14.85546875" style="164" customWidth="1"/>
    <col min="3591" max="3591" width="3.42578125" style="164" customWidth="1"/>
    <col min="3592" max="3592" width="2.28515625" style="164" customWidth="1"/>
    <col min="3593" max="3593" width="1.140625" style="164" customWidth="1"/>
    <col min="3594" max="3594" width="14.5703125" style="164" customWidth="1"/>
    <col min="3595" max="3595" width="10.28515625" style="164" customWidth="1"/>
    <col min="3596" max="3596" width="1.140625" style="164" customWidth="1"/>
    <col min="3597" max="3597" width="4.140625" style="164" customWidth="1"/>
    <col min="3598" max="3598" width="2.7109375" style="164" customWidth="1"/>
    <col min="3599" max="3599" width="2.28515625" style="164" customWidth="1"/>
    <col min="3600" max="3600" width="3.42578125" style="164" customWidth="1"/>
    <col min="3601" max="3601" width="20.140625" style="164" customWidth="1"/>
    <col min="3602" max="3602" width="1.5703125" style="164" customWidth="1"/>
    <col min="3603" max="3840" width="6.85546875" style="164"/>
    <col min="3841" max="3841" width="1.140625" style="164" customWidth="1"/>
    <col min="3842" max="3842" width="2.28515625" style="164" customWidth="1"/>
    <col min="3843" max="3843" width="8" style="164" customWidth="1"/>
    <col min="3844" max="3844" width="2.28515625" style="164" customWidth="1"/>
    <col min="3845" max="3845" width="1.140625" style="164" customWidth="1"/>
    <col min="3846" max="3846" width="14.85546875" style="164" customWidth="1"/>
    <col min="3847" max="3847" width="3.42578125" style="164" customWidth="1"/>
    <col min="3848" max="3848" width="2.28515625" style="164" customWidth="1"/>
    <col min="3849" max="3849" width="1.140625" style="164" customWidth="1"/>
    <col min="3850" max="3850" width="14.5703125" style="164" customWidth="1"/>
    <col min="3851" max="3851" width="10.28515625" style="164" customWidth="1"/>
    <col min="3852" max="3852" width="1.140625" style="164" customWidth="1"/>
    <col min="3853" max="3853" width="4.140625" style="164" customWidth="1"/>
    <col min="3854" max="3854" width="2.7109375" style="164" customWidth="1"/>
    <col min="3855" max="3855" width="2.28515625" style="164" customWidth="1"/>
    <col min="3856" max="3856" width="3.42578125" style="164" customWidth="1"/>
    <col min="3857" max="3857" width="20.140625" style="164" customWidth="1"/>
    <col min="3858" max="3858" width="1.5703125" style="164" customWidth="1"/>
    <col min="3859" max="4096" width="6.85546875" style="164"/>
    <col min="4097" max="4097" width="1.140625" style="164" customWidth="1"/>
    <col min="4098" max="4098" width="2.28515625" style="164" customWidth="1"/>
    <col min="4099" max="4099" width="8" style="164" customWidth="1"/>
    <col min="4100" max="4100" width="2.28515625" style="164" customWidth="1"/>
    <col min="4101" max="4101" width="1.140625" style="164" customWidth="1"/>
    <col min="4102" max="4102" width="14.85546875" style="164" customWidth="1"/>
    <col min="4103" max="4103" width="3.42578125" style="164" customWidth="1"/>
    <col min="4104" max="4104" width="2.28515625" style="164" customWidth="1"/>
    <col min="4105" max="4105" width="1.140625" style="164" customWidth="1"/>
    <col min="4106" max="4106" width="14.5703125" style="164" customWidth="1"/>
    <col min="4107" max="4107" width="10.28515625" style="164" customWidth="1"/>
    <col min="4108" max="4108" width="1.140625" style="164" customWidth="1"/>
    <col min="4109" max="4109" width="4.140625" style="164" customWidth="1"/>
    <col min="4110" max="4110" width="2.7109375" style="164" customWidth="1"/>
    <col min="4111" max="4111" width="2.28515625" style="164" customWidth="1"/>
    <col min="4112" max="4112" width="3.42578125" style="164" customWidth="1"/>
    <col min="4113" max="4113" width="20.140625" style="164" customWidth="1"/>
    <col min="4114" max="4114" width="1.5703125" style="164" customWidth="1"/>
    <col min="4115" max="4352" width="6.85546875" style="164"/>
    <col min="4353" max="4353" width="1.140625" style="164" customWidth="1"/>
    <col min="4354" max="4354" width="2.28515625" style="164" customWidth="1"/>
    <col min="4355" max="4355" width="8" style="164" customWidth="1"/>
    <col min="4356" max="4356" width="2.28515625" style="164" customWidth="1"/>
    <col min="4357" max="4357" width="1.140625" style="164" customWidth="1"/>
    <col min="4358" max="4358" width="14.85546875" style="164" customWidth="1"/>
    <col min="4359" max="4359" width="3.42578125" style="164" customWidth="1"/>
    <col min="4360" max="4360" width="2.28515625" style="164" customWidth="1"/>
    <col min="4361" max="4361" width="1.140625" style="164" customWidth="1"/>
    <col min="4362" max="4362" width="14.5703125" style="164" customWidth="1"/>
    <col min="4363" max="4363" width="10.28515625" style="164" customWidth="1"/>
    <col min="4364" max="4364" width="1.140625" style="164" customWidth="1"/>
    <col min="4365" max="4365" width="4.140625" style="164" customWidth="1"/>
    <col min="4366" max="4366" width="2.7109375" style="164" customWidth="1"/>
    <col min="4367" max="4367" width="2.28515625" style="164" customWidth="1"/>
    <col min="4368" max="4368" width="3.42578125" style="164" customWidth="1"/>
    <col min="4369" max="4369" width="20.140625" style="164" customWidth="1"/>
    <col min="4370" max="4370" width="1.5703125" style="164" customWidth="1"/>
    <col min="4371" max="4608" width="6.85546875" style="164"/>
    <col min="4609" max="4609" width="1.140625" style="164" customWidth="1"/>
    <col min="4610" max="4610" width="2.28515625" style="164" customWidth="1"/>
    <col min="4611" max="4611" width="8" style="164" customWidth="1"/>
    <col min="4612" max="4612" width="2.28515625" style="164" customWidth="1"/>
    <col min="4613" max="4613" width="1.140625" style="164" customWidth="1"/>
    <col min="4614" max="4614" width="14.85546875" style="164" customWidth="1"/>
    <col min="4615" max="4615" width="3.42578125" style="164" customWidth="1"/>
    <col min="4616" max="4616" width="2.28515625" style="164" customWidth="1"/>
    <col min="4617" max="4617" width="1.140625" style="164" customWidth="1"/>
    <col min="4618" max="4618" width="14.5703125" style="164" customWidth="1"/>
    <col min="4619" max="4619" width="10.28515625" style="164" customWidth="1"/>
    <col min="4620" max="4620" width="1.140625" style="164" customWidth="1"/>
    <col min="4621" max="4621" width="4.140625" style="164" customWidth="1"/>
    <col min="4622" max="4622" width="2.7109375" style="164" customWidth="1"/>
    <col min="4623" max="4623" width="2.28515625" style="164" customWidth="1"/>
    <col min="4624" max="4624" width="3.42578125" style="164" customWidth="1"/>
    <col min="4625" max="4625" width="20.140625" style="164" customWidth="1"/>
    <col min="4626" max="4626" width="1.5703125" style="164" customWidth="1"/>
    <col min="4627" max="4864" width="6.85546875" style="164"/>
    <col min="4865" max="4865" width="1.140625" style="164" customWidth="1"/>
    <col min="4866" max="4866" width="2.28515625" style="164" customWidth="1"/>
    <col min="4867" max="4867" width="8" style="164" customWidth="1"/>
    <col min="4868" max="4868" width="2.28515625" style="164" customWidth="1"/>
    <col min="4869" max="4869" width="1.140625" style="164" customWidth="1"/>
    <col min="4870" max="4870" width="14.85546875" style="164" customWidth="1"/>
    <col min="4871" max="4871" width="3.42578125" style="164" customWidth="1"/>
    <col min="4872" max="4872" width="2.28515625" style="164" customWidth="1"/>
    <col min="4873" max="4873" width="1.140625" style="164" customWidth="1"/>
    <col min="4874" max="4874" width="14.5703125" style="164" customWidth="1"/>
    <col min="4875" max="4875" width="10.28515625" style="164" customWidth="1"/>
    <col min="4876" max="4876" width="1.140625" style="164" customWidth="1"/>
    <col min="4877" max="4877" width="4.140625" style="164" customWidth="1"/>
    <col min="4878" max="4878" width="2.7109375" style="164" customWidth="1"/>
    <col min="4879" max="4879" width="2.28515625" style="164" customWidth="1"/>
    <col min="4880" max="4880" width="3.42578125" style="164" customWidth="1"/>
    <col min="4881" max="4881" width="20.140625" style="164" customWidth="1"/>
    <col min="4882" max="4882" width="1.5703125" style="164" customWidth="1"/>
    <col min="4883" max="5120" width="6.85546875" style="164"/>
    <col min="5121" max="5121" width="1.140625" style="164" customWidth="1"/>
    <col min="5122" max="5122" width="2.28515625" style="164" customWidth="1"/>
    <col min="5123" max="5123" width="8" style="164" customWidth="1"/>
    <col min="5124" max="5124" width="2.28515625" style="164" customWidth="1"/>
    <col min="5125" max="5125" width="1.140625" style="164" customWidth="1"/>
    <col min="5126" max="5126" width="14.85546875" style="164" customWidth="1"/>
    <col min="5127" max="5127" width="3.42578125" style="164" customWidth="1"/>
    <col min="5128" max="5128" width="2.28515625" style="164" customWidth="1"/>
    <col min="5129" max="5129" width="1.140625" style="164" customWidth="1"/>
    <col min="5130" max="5130" width="14.5703125" style="164" customWidth="1"/>
    <col min="5131" max="5131" width="10.28515625" style="164" customWidth="1"/>
    <col min="5132" max="5132" width="1.140625" style="164" customWidth="1"/>
    <col min="5133" max="5133" width="4.140625" style="164" customWidth="1"/>
    <col min="5134" max="5134" width="2.7109375" style="164" customWidth="1"/>
    <col min="5135" max="5135" width="2.28515625" style="164" customWidth="1"/>
    <col min="5136" max="5136" width="3.42578125" style="164" customWidth="1"/>
    <col min="5137" max="5137" width="20.140625" style="164" customWidth="1"/>
    <col min="5138" max="5138" width="1.5703125" style="164" customWidth="1"/>
    <col min="5139" max="5376" width="6.85546875" style="164"/>
    <col min="5377" max="5377" width="1.140625" style="164" customWidth="1"/>
    <col min="5378" max="5378" width="2.28515625" style="164" customWidth="1"/>
    <col min="5379" max="5379" width="8" style="164" customWidth="1"/>
    <col min="5380" max="5380" width="2.28515625" style="164" customWidth="1"/>
    <col min="5381" max="5381" width="1.140625" style="164" customWidth="1"/>
    <col min="5382" max="5382" width="14.85546875" style="164" customWidth="1"/>
    <col min="5383" max="5383" width="3.42578125" style="164" customWidth="1"/>
    <col min="5384" max="5384" width="2.28515625" style="164" customWidth="1"/>
    <col min="5385" max="5385" width="1.140625" style="164" customWidth="1"/>
    <col min="5386" max="5386" width="14.5703125" style="164" customWidth="1"/>
    <col min="5387" max="5387" width="10.28515625" style="164" customWidth="1"/>
    <col min="5388" max="5388" width="1.140625" style="164" customWidth="1"/>
    <col min="5389" max="5389" width="4.140625" style="164" customWidth="1"/>
    <col min="5390" max="5390" width="2.7109375" style="164" customWidth="1"/>
    <col min="5391" max="5391" width="2.28515625" style="164" customWidth="1"/>
    <col min="5392" max="5392" width="3.42578125" style="164" customWidth="1"/>
    <col min="5393" max="5393" width="20.140625" style="164" customWidth="1"/>
    <col min="5394" max="5394" width="1.5703125" style="164" customWidth="1"/>
    <col min="5395" max="5632" width="6.85546875" style="164"/>
    <col min="5633" max="5633" width="1.140625" style="164" customWidth="1"/>
    <col min="5634" max="5634" width="2.28515625" style="164" customWidth="1"/>
    <col min="5635" max="5635" width="8" style="164" customWidth="1"/>
    <col min="5636" max="5636" width="2.28515625" style="164" customWidth="1"/>
    <col min="5637" max="5637" width="1.140625" style="164" customWidth="1"/>
    <col min="5638" max="5638" width="14.85546875" style="164" customWidth="1"/>
    <col min="5639" max="5639" width="3.42578125" style="164" customWidth="1"/>
    <col min="5640" max="5640" width="2.28515625" style="164" customWidth="1"/>
    <col min="5641" max="5641" width="1.140625" style="164" customWidth="1"/>
    <col min="5642" max="5642" width="14.5703125" style="164" customWidth="1"/>
    <col min="5643" max="5643" width="10.28515625" style="164" customWidth="1"/>
    <col min="5644" max="5644" width="1.140625" style="164" customWidth="1"/>
    <col min="5645" max="5645" width="4.140625" style="164" customWidth="1"/>
    <col min="5646" max="5646" width="2.7109375" style="164" customWidth="1"/>
    <col min="5647" max="5647" width="2.28515625" style="164" customWidth="1"/>
    <col min="5648" max="5648" width="3.42578125" style="164" customWidth="1"/>
    <col min="5649" max="5649" width="20.140625" style="164" customWidth="1"/>
    <col min="5650" max="5650" width="1.5703125" style="164" customWidth="1"/>
    <col min="5651" max="5888" width="6.85546875" style="164"/>
    <col min="5889" max="5889" width="1.140625" style="164" customWidth="1"/>
    <col min="5890" max="5890" width="2.28515625" style="164" customWidth="1"/>
    <col min="5891" max="5891" width="8" style="164" customWidth="1"/>
    <col min="5892" max="5892" width="2.28515625" style="164" customWidth="1"/>
    <col min="5893" max="5893" width="1.140625" style="164" customWidth="1"/>
    <col min="5894" max="5894" width="14.85546875" style="164" customWidth="1"/>
    <col min="5895" max="5895" width="3.42578125" style="164" customWidth="1"/>
    <col min="5896" max="5896" width="2.28515625" style="164" customWidth="1"/>
    <col min="5897" max="5897" width="1.140625" style="164" customWidth="1"/>
    <col min="5898" max="5898" width="14.5703125" style="164" customWidth="1"/>
    <col min="5899" max="5899" width="10.28515625" style="164" customWidth="1"/>
    <col min="5900" max="5900" width="1.140625" style="164" customWidth="1"/>
    <col min="5901" max="5901" width="4.140625" style="164" customWidth="1"/>
    <col min="5902" max="5902" width="2.7109375" style="164" customWidth="1"/>
    <col min="5903" max="5903" width="2.28515625" style="164" customWidth="1"/>
    <col min="5904" max="5904" width="3.42578125" style="164" customWidth="1"/>
    <col min="5905" max="5905" width="20.140625" style="164" customWidth="1"/>
    <col min="5906" max="5906" width="1.5703125" style="164" customWidth="1"/>
    <col min="5907" max="6144" width="6.85546875" style="164"/>
    <col min="6145" max="6145" width="1.140625" style="164" customWidth="1"/>
    <col min="6146" max="6146" width="2.28515625" style="164" customWidth="1"/>
    <col min="6147" max="6147" width="8" style="164" customWidth="1"/>
    <col min="6148" max="6148" width="2.28515625" style="164" customWidth="1"/>
    <col min="6149" max="6149" width="1.140625" style="164" customWidth="1"/>
    <col min="6150" max="6150" width="14.85546875" style="164" customWidth="1"/>
    <col min="6151" max="6151" width="3.42578125" style="164" customWidth="1"/>
    <col min="6152" max="6152" width="2.28515625" style="164" customWidth="1"/>
    <col min="6153" max="6153" width="1.140625" style="164" customWidth="1"/>
    <col min="6154" max="6154" width="14.5703125" style="164" customWidth="1"/>
    <col min="6155" max="6155" width="10.28515625" style="164" customWidth="1"/>
    <col min="6156" max="6156" width="1.140625" style="164" customWidth="1"/>
    <col min="6157" max="6157" width="4.140625" style="164" customWidth="1"/>
    <col min="6158" max="6158" width="2.7109375" style="164" customWidth="1"/>
    <col min="6159" max="6159" width="2.28515625" style="164" customWidth="1"/>
    <col min="6160" max="6160" width="3.42578125" style="164" customWidth="1"/>
    <col min="6161" max="6161" width="20.140625" style="164" customWidth="1"/>
    <col min="6162" max="6162" width="1.5703125" style="164" customWidth="1"/>
    <col min="6163" max="6400" width="6.85546875" style="164"/>
    <col min="6401" max="6401" width="1.140625" style="164" customWidth="1"/>
    <col min="6402" max="6402" width="2.28515625" style="164" customWidth="1"/>
    <col min="6403" max="6403" width="8" style="164" customWidth="1"/>
    <col min="6404" max="6404" width="2.28515625" style="164" customWidth="1"/>
    <col min="6405" max="6405" width="1.140625" style="164" customWidth="1"/>
    <col min="6406" max="6406" width="14.85546875" style="164" customWidth="1"/>
    <col min="6407" max="6407" width="3.42578125" style="164" customWidth="1"/>
    <col min="6408" max="6408" width="2.28515625" style="164" customWidth="1"/>
    <col min="6409" max="6409" width="1.140625" style="164" customWidth="1"/>
    <col min="6410" max="6410" width="14.5703125" style="164" customWidth="1"/>
    <col min="6411" max="6411" width="10.28515625" style="164" customWidth="1"/>
    <col min="6412" max="6412" width="1.140625" style="164" customWidth="1"/>
    <col min="6413" max="6413" width="4.140625" style="164" customWidth="1"/>
    <col min="6414" max="6414" width="2.7109375" style="164" customWidth="1"/>
    <col min="6415" max="6415" width="2.28515625" style="164" customWidth="1"/>
    <col min="6416" max="6416" width="3.42578125" style="164" customWidth="1"/>
    <col min="6417" max="6417" width="20.140625" style="164" customWidth="1"/>
    <col min="6418" max="6418" width="1.5703125" style="164" customWidth="1"/>
    <col min="6419" max="6656" width="6.85546875" style="164"/>
    <col min="6657" max="6657" width="1.140625" style="164" customWidth="1"/>
    <col min="6658" max="6658" width="2.28515625" style="164" customWidth="1"/>
    <col min="6659" max="6659" width="8" style="164" customWidth="1"/>
    <col min="6660" max="6660" width="2.28515625" style="164" customWidth="1"/>
    <col min="6661" max="6661" width="1.140625" style="164" customWidth="1"/>
    <col min="6662" max="6662" width="14.85546875" style="164" customWidth="1"/>
    <col min="6663" max="6663" width="3.42578125" style="164" customWidth="1"/>
    <col min="6664" max="6664" width="2.28515625" style="164" customWidth="1"/>
    <col min="6665" max="6665" width="1.140625" style="164" customWidth="1"/>
    <col min="6666" max="6666" width="14.5703125" style="164" customWidth="1"/>
    <col min="6667" max="6667" width="10.28515625" style="164" customWidth="1"/>
    <col min="6668" max="6668" width="1.140625" style="164" customWidth="1"/>
    <col min="6669" max="6669" width="4.140625" style="164" customWidth="1"/>
    <col min="6670" max="6670" width="2.7109375" style="164" customWidth="1"/>
    <col min="6671" max="6671" width="2.28515625" style="164" customWidth="1"/>
    <col min="6672" max="6672" width="3.42578125" style="164" customWidth="1"/>
    <col min="6673" max="6673" width="20.140625" style="164" customWidth="1"/>
    <col min="6674" max="6674" width="1.5703125" style="164" customWidth="1"/>
    <col min="6675" max="6912" width="6.85546875" style="164"/>
    <col min="6913" max="6913" width="1.140625" style="164" customWidth="1"/>
    <col min="6914" max="6914" width="2.28515625" style="164" customWidth="1"/>
    <col min="6915" max="6915" width="8" style="164" customWidth="1"/>
    <col min="6916" max="6916" width="2.28515625" style="164" customWidth="1"/>
    <col min="6917" max="6917" width="1.140625" style="164" customWidth="1"/>
    <col min="6918" max="6918" width="14.85546875" style="164" customWidth="1"/>
    <col min="6919" max="6919" width="3.42578125" style="164" customWidth="1"/>
    <col min="6920" max="6920" width="2.28515625" style="164" customWidth="1"/>
    <col min="6921" max="6921" width="1.140625" style="164" customWidth="1"/>
    <col min="6922" max="6922" width="14.5703125" style="164" customWidth="1"/>
    <col min="6923" max="6923" width="10.28515625" style="164" customWidth="1"/>
    <col min="6924" max="6924" width="1.140625" style="164" customWidth="1"/>
    <col min="6925" max="6925" width="4.140625" style="164" customWidth="1"/>
    <col min="6926" max="6926" width="2.7109375" style="164" customWidth="1"/>
    <col min="6927" max="6927" width="2.28515625" style="164" customWidth="1"/>
    <col min="6928" max="6928" width="3.42578125" style="164" customWidth="1"/>
    <col min="6929" max="6929" width="20.140625" style="164" customWidth="1"/>
    <col min="6930" max="6930" width="1.5703125" style="164" customWidth="1"/>
    <col min="6931" max="7168" width="6.85546875" style="164"/>
    <col min="7169" max="7169" width="1.140625" style="164" customWidth="1"/>
    <col min="7170" max="7170" width="2.28515625" style="164" customWidth="1"/>
    <col min="7171" max="7171" width="8" style="164" customWidth="1"/>
    <col min="7172" max="7172" width="2.28515625" style="164" customWidth="1"/>
    <col min="7173" max="7173" width="1.140625" style="164" customWidth="1"/>
    <col min="7174" max="7174" width="14.85546875" style="164" customWidth="1"/>
    <col min="7175" max="7175" width="3.42578125" style="164" customWidth="1"/>
    <col min="7176" max="7176" width="2.28515625" style="164" customWidth="1"/>
    <col min="7177" max="7177" width="1.140625" style="164" customWidth="1"/>
    <col min="7178" max="7178" width="14.5703125" style="164" customWidth="1"/>
    <col min="7179" max="7179" width="10.28515625" style="164" customWidth="1"/>
    <col min="7180" max="7180" width="1.140625" style="164" customWidth="1"/>
    <col min="7181" max="7181" width="4.140625" style="164" customWidth="1"/>
    <col min="7182" max="7182" width="2.7109375" style="164" customWidth="1"/>
    <col min="7183" max="7183" width="2.28515625" style="164" customWidth="1"/>
    <col min="7184" max="7184" width="3.42578125" style="164" customWidth="1"/>
    <col min="7185" max="7185" width="20.140625" style="164" customWidth="1"/>
    <col min="7186" max="7186" width="1.5703125" style="164" customWidth="1"/>
    <col min="7187" max="7424" width="6.85546875" style="164"/>
    <col min="7425" max="7425" width="1.140625" style="164" customWidth="1"/>
    <col min="7426" max="7426" width="2.28515625" style="164" customWidth="1"/>
    <col min="7427" max="7427" width="8" style="164" customWidth="1"/>
    <col min="7428" max="7428" width="2.28515625" style="164" customWidth="1"/>
    <col min="7429" max="7429" width="1.140625" style="164" customWidth="1"/>
    <col min="7430" max="7430" width="14.85546875" style="164" customWidth="1"/>
    <col min="7431" max="7431" width="3.42578125" style="164" customWidth="1"/>
    <col min="7432" max="7432" width="2.28515625" style="164" customWidth="1"/>
    <col min="7433" max="7433" width="1.140625" style="164" customWidth="1"/>
    <col min="7434" max="7434" width="14.5703125" style="164" customWidth="1"/>
    <col min="7435" max="7435" width="10.28515625" style="164" customWidth="1"/>
    <col min="7436" max="7436" width="1.140625" style="164" customWidth="1"/>
    <col min="7437" max="7437" width="4.140625" style="164" customWidth="1"/>
    <col min="7438" max="7438" width="2.7109375" style="164" customWidth="1"/>
    <col min="7439" max="7439" width="2.28515625" style="164" customWidth="1"/>
    <col min="7440" max="7440" width="3.42578125" style="164" customWidth="1"/>
    <col min="7441" max="7441" width="20.140625" style="164" customWidth="1"/>
    <col min="7442" max="7442" width="1.5703125" style="164" customWidth="1"/>
    <col min="7443" max="7680" width="6.85546875" style="164"/>
    <col min="7681" max="7681" width="1.140625" style="164" customWidth="1"/>
    <col min="7682" max="7682" width="2.28515625" style="164" customWidth="1"/>
    <col min="7683" max="7683" width="8" style="164" customWidth="1"/>
    <col min="7684" max="7684" width="2.28515625" style="164" customWidth="1"/>
    <col min="7685" max="7685" width="1.140625" style="164" customWidth="1"/>
    <col min="7686" max="7686" width="14.85546875" style="164" customWidth="1"/>
    <col min="7687" max="7687" width="3.42578125" style="164" customWidth="1"/>
    <col min="7688" max="7688" width="2.28515625" style="164" customWidth="1"/>
    <col min="7689" max="7689" width="1.140625" style="164" customWidth="1"/>
    <col min="7690" max="7690" width="14.5703125" style="164" customWidth="1"/>
    <col min="7691" max="7691" width="10.28515625" style="164" customWidth="1"/>
    <col min="7692" max="7692" width="1.140625" style="164" customWidth="1"/>
    <col min="7693" max="7693" width="4.140625" style="164" customWidth="1"/>
    <col min="7694" max="7694" width="2.7109375" style="164" customWidth="1"/>
    <col min="7695" max="7695" width="2.28515625" style="164" customWidth="1"/>
    <col min="7696" max="7696" width="3.42578125" style="164" customWidth="1"/>
    <col min="7697" max="7697" width="20.140625" style="164" customWidth="1"/>
    <col min="7698" max="7698" width="1.5703125" style="164" customWidth="1"/>
    <col min="7699" max="7936" width="6.85546875" style="164"/>
    <col min="7937" max="7937" width="1.140625" style="164" customWidth="1"/>
    <col min="7938" max="7938" width="2.28515625" style="164" customWidth="1"/>
    <col min="7939" max="7939" width="8" style="164" customWidth="1"/>
    <col min="7940" max="7940" width="2.28515625" style="164" customWidth="1"/>
    <col min="7941" max="7941" width="1.140625" style="164" customWidth="1"/>
    <col min="7942" max="7942" width="14.85546875" style="164" customWidth="1"/>
    <col min="7943" max="7943" width="3.42578125" style="164" customWidth="1"/>
    <col min="7944" max="7944" width="2.28515625" style="164" customWidth="1"/>
    <col min="7945" max="7945" width="1.140625" style="164" customWidth="1"/>
    <col min="7946" max="7946" width="14.5703125" style="164" customWidth="1"/>
    <col min="7947" max="7947" width="10.28515625" style="164" customWidth="1"/>
    <col min="7948" max="7948" width="1.140625" style="164" customWidth="1"/>
    <col min="7949" max="7949" width="4.140625" style="164" customWidth="1"/>
    <col min="7950" max="7950" width="2.7109375" style="164" customWidth="1"/>
    <col min="7951" max="7951" width="2.28515625" style="164" customWidth="1"/>
    <col min="7952" max="7952" width="3.42578125" style="164" customWidth="1"/>
    <col min="7953" max="7953" width="20.140625" style="164" customWidth="1"/>
    <col min="7954" max="7954" width="1.5703125" style="164" customWidth="1"/>
    <col min="7955" max="8192" width="6.85546875" style="164"/>
    <col min="8193" max="8193" width="1.140625" style="164" customWidth="1"/>
    <col min="8194" max="8194" width="2.28515625" style="164" customWidth="1"/>
    <col min="8195" max="8195" width="8" style="164" customWidth="1"/>
    <col min="8196" max="8196" width="2.28515625" style="164" customWidth="1"/>
    <col min="8197" max="8197" width="1.140625" style="164" customWidth="1"/>
    <col min="8198" max="8198" width="14.85546875" style="164" customWidth="1"/>
    <col min="8199" max="8199" width="3.42578125" style="164" customWidth="1"/>
    <col min="8200" max="8200" width="2.28515625" style="164" customWidth="1"/>
    <col min="8201" max="8201" width="1.140625" style="164" customWidth="1"/>
    <col min="8202" max="8202" width="14.5703125" style="164" customWidth="1"/>
    <col min="8203" max="8203" width="10.28515625" style="164" customWidth="1"/>
    <col min="8204" max="8204" width="1.140625" style="164" customWidth="1"/>
    <col min="8205" max="8205" width="4.140625" style="164" customWidth="1"/>
    <col min="8206" max="8206" width="2.7109375" style="164" customWidth="1"/>
    <col min="8207" max="8207" width="2.28515625" style="164" customWidth="1"/>
    <col min="8208" max="8208" width="3.42578125" style="164" customWidth="1"/>
    <col min="8209" max="8209" width="20.140625" style="164" customWidth="1"/>
    <col min="8210" max="8210" width="1.5703125" style="164" customWidth="1"/>
    <col min="8211" max="8448" width="6.85546875" style="164"/>
    <col min="8449" max="8449" width="1.140625" style="164" customWidth="1"/>
    <col min="8450" max="8450" width="2.28515625" style="164" customWidth="1"/>
    <col min="8451" max="8451" width="8" style="164" customWidth="1"/>
    <col min="8452" max="8452" width="2.28515625" style="164" customWidth="1"/>
    <col min="8453" max="8453" width="1.140625" style="164" customWidth="1"/>
    <col min="8454" max="8454" width="14.85546875" style="164" customWidth="1"/>
    <col min="8455" max="8455" width="3.42578125" style="164" customWidth="1"/>
    <col min="8456" max="8456" width="2.28515625" style="164" customWidth="1"/>
    <col min="8457" max="8457" width="1.140625" style="164" customWidth="1"/>
    <col min="8458" max="8458" width="14.5703125" style="164" customWidth="1"/>
    <col min="8459" max="8459" width="10.28515625" style="164" customWidth="1"/>
    <col min="8460" max="8460" width="1.140625" style="164" customWidth="1"/>
    <col min="8461" max="8461" width="4.140625" style="164" customWidth="1"/>
    <col min="8462" max="8462" width="2.7109375" style="164" customWidth="1"/>
    <col min="8463" max="8463" width="2.28515625" style="164" customWidth="1"/>
    <col min="8464" max="8464" width="3.42578125" style="164" customWidth="1"/>
    <col min="8465" max="8465" width="20.140625" style="164" customWidth="1"/>
    <col min="8466" max="8466" width="1.5703125" style="164" customWidth="1"/>
    <col min="8467" max="8704" width="6.85546875" style="164"/>
    <col min="8705" max="8705" width="1.140625" style="164" customWidth="1"/>
    <col min="8706" max="8706" width="2.28515625" style="164" customWidth="1"/>
    <col min="8707" max="8707" width="8" style="164" customWidth="1"/>
    <col min="8708" max="8708" width="2.28515625" style="164" customWidth="1"/>
    <col min="8709" max="8709" width="1.140625" style="164" customWidth="1"/>
    <col min="8710" max="8710" width="14.85546875" style="164" customWidth="1"/>
    <col min="8711" max="8711" width="3.42578125" style="164" customWidth="1"/>
    <col min="8712" max="8712" width="2.28515625" style="164" customWidth="1"/>
    <col min="8713" max="8713" width="1.140625" style="164" customWidth="1"/>
    <col min="8714" max="8714" width="14.5703125" style="164" customWidth="1"/>
    <col min="8715" max="8715" width="10.28515625" style="164" customWidth="1"/>
    <col min="8716" max="8716" width="1.140625" style="164" customWidth="1"/>
    <col min="8717" max="8717" width="4.140625" style="164" customWidth="1"/>
    <col min="8718" max="8718" width="2.7109375" style="164" customWidth="1"/>
    <col min="8719" max="8719" width="2.28515625" style="164" customWidth="1"/>
    <col min="8720" max="8720" width="3.42578125" style="164" customWidth="1"/>
    <col min="8721" max="8721" width="20.140625" style="164" customWidth="1"/>
    <col min="8722" max="8722" width="1.5703125" style="164" customWidth="1"/>
    <col min="8723" max="8960" width="6.85546875" style="164"/>
    <col min="8961" max="8961" width="1.140625" style="164" customWidth="1"/>
    <col min="8962" max="8962" width="2.28515625" style="164" customWidth="1"/>
    <col min="8963" max="8963" width="8" style="164" customWidth="1"/>
    <col min="8964" max="8964" width="2.28515625" style="164" customWidth="1"/>
    <col min="8965" max="8965" width="1.140625" style="164" customWidth="1"/>
    <col min="8966" max="8966" width="14.85546875" style="164" customWidth="1"/>
    <col min="8967" max="8967" width="3.42578125" style="164" customWidth="1"/>
    <col min="8968" max="8968" width="2.28515625" style="164" customWidth="1"/>
    <col min="8969" max="8969" width="1.140625" style="164" customWidth="1"/>
    <col min="8970" max="8970" width="14.5703125" style="164" customWidth="1"/>
    <col min="8971" max="8971" width="10.28515625" style="164" customWidth="1"/>
    <col min="8972" max="8972" width="1.140625" style="164" customWidth="1"/>
    <col min="8973" max="8973" width="4.140625" style="164" customWidth="1"/>
    <col min="8974" max="8974" width="2.7109375" style="164" customWidth="1"/>
    <col min="8975" max="8975" width="2.28515625" style="164" customWidth="1"/>
    <col min="8976" max="8976" width="3.42578125" style="164" customWidth="1"/>
    <col min="8977" max="8977" width="20.140625" style="164" customWidth="1"/>
    <col min="8978" max="8978" width="1.5703125" style="164" customWidth="1"/>
    <col min="8979" max="9216" width="6.85546875" style="164"/>
    <col min="9217" max="9217" width="1.140625" style="164" customWidth="1"/>
    <col min="9218" max="9218" width="2.28515625" style="164" customWidth="1"/>
    <col min="9219" max="9219" width="8" style="164" customWidth="1"/>
    <col min="9220" max="9220" width="2.28515625" style="164" customWidth="1"/>
    <col min="9221" max="9221" width="1.140625" style="164" customWidth="1"/>
    <col min="9222" max="9222" width="14.85546875" style="164" customWidth="1"/>
    <col min="9223" max="9223" width="3.42578125" style="164" customWidth="1"/>
    <col min="9224" max="9224" width="2.28515625" style="164" customWidth="1"/>
    <col min="9225" max="9225" width="1.140625" style="164" customWidth="1"/>
    <col min="9226" max="9226" width="14.5703125" style="164" customWidth="1"/>
    <col min="9227" max="9227" width="10.28515625" style="164" customWidth="1"/>
    <col min="9228" max="9228" width="1.140625" style="164" customWidth="1"/>
    <col min="9229" max="9229" width="4.140625" style="164" customWidth="1"/>
    <col min="9230" max="9230" width="2.7109375" style="164" customWidth="1"/>
    <col min="9231" max="9231" width="2.28515625" style="164" customWidth="1"/>
    <col min="9232" max="9232" width="3.42578125" style="164" customWidth="1"/>
    <col min="9233" max="9233" width="20.140625" style="164" customWidth="1"/>
    <col min="9234" max="9234" width="1.5703125" style="164" customWidth="1"/>
    <col min="9235" max="9472" width="6.85546875" style="164"/>
    <col min="9473" max="9473" width="1.140625" style="164" customWidth="1"/>
    <col min="9474" max="9474" width="2.28515625" style="164" customWidth="1"/>
    <col min="9475" max="9475" width="8" style="164" customWidth="1"/>
    <col min="9476" max="9476" width="2.28515625" style="164" customWidth="1"/>
    <col min="9477" max="9477" width="1.140625" style="164" customWidth="1"/>
    <col min="9478" max="9478" width="14.85546875" style="164" customWidth="1"/>
    <col min="9479" max="9479" width="3.42578125" style="164" customWidth="1"/>
    <col min="9480" max="9480" width="2.28515625" style="164" customWidth="1"/>
    <col min="9481" max="9481" width="1.140625" style="164" customWidth="1"/>
    <col min="9482" max="9482" width="14.5703125" style="164" customWidth="1"/>
    <col min="9483" max="9483" width="10.28515625" style="164" customWidth="1"/>
    <col min="9484" max="9484" width="1.140625" style="164" customWidth="1"/>
    <col min="9485" max="9485" width="4.140625" style="164" customWidth="1"/>
    <col min="9486" max="9486" width="2.7109375" style="164" customWidth="1"/>
    <col min="9487" max="9487" width="2.28515625" style="164" customWidth="1"/>
    <col min="9488" max="9488" width="3.42578125" style="164" customWidth="1"/>
    <col min="9489" max="9489" width="20.140625" style="164" customWidth="1"/>
    <col min="9490" max="9490" width="1.5703125" style="164" customWidth="1"/>
    <col min="9491" max="9728" width="6.85546875" style="164"/>
    <col min="9729" max="9729" width="1.140625" style="164" customWidth="1"/>
    <col min="9730" max="9730" width="2.28515625" style="164" customWidth="1"/>
    <col min="9731" max="9731" width="8" style="164" customWidth="1"/>
    <col min="9732" max="9732" width="2.28515625" style="164" customWidth="1"/>
    <col min="9733" max="9733" width="1.140625" style="164" customWidth="1"/>
    <col min="9734" max="9734" width="14.85546875" style="164" customWidth="1"/>
    <col min="9735" max="9735" width="3.42578125" style="164" customWidth="1"/>
    <col min="9736" max="9736" width="2.28515625" style="164" customWidth="1"/>
    <col min="9737" max="9737" width="1.140625" style="164" customWidth="1"/>
    <col min="9738" max="9738" width="14.5703125" style="164" customWidth="1"/>
    <col min="9739" max="9739" width="10.28515625" style="164" customWidth="1"/>
    <col min="9740" max="9740" width="1.140625" style="164" customWidth="1"/>
    <col min="9741" max="9741" width="4.140625" style="164" customWidth="1"/>
    <col min="9742" max="9742" width="2.7109375" style="164" customWidth="1"/>
    <col min="9743" max="9743" width="2.28515625" style="164" customWidth="1"/>
    <col min="9744" max="9744" width="3.42578125" style="164" customWidth="1"/>
    <col min="9745" max="9745" width="20.140625" style="164" customWidth="1"/>
    <col min="9746" max="9746" width="1.5703125" style="164" customWidth="1"/>
    <col min="9747" max="9984" width="6.85546875" style="164"/>
    <col min="9985" max="9985" width="1.140625" style="164" customWidth="1"/>
    <col min="9986" max="9986" width="2.28515625" style="164" customWidth="1"/>
    <col min="9987" max="9987" width="8" style="164" customWidth="1"/>
    <col min="9988" max="9988" width="2.28515625" style="164" customWidth="1"/>
    <col min="9989" max="9989" width="1.140625" style="164" customWidth="1"/>
    <col min="9990" max="9990" width="14.85546875" style="164" customWidth="1"/>
    <col min="9991" max="9991" width="3.42578125" style="164" customWidth="1"/>
    <col min="9992" max="9992" width="2.28515625" style="164" customWidth="1"/>
    <col min="9993" max="9993" width="1.140625" style="164" customWidth="1"/>
    <col min="9994" max="9994" width="14.5703125" style="164" customWidth="1"/>
    <col min="9995" max="9995" width="10.28515625" style="164" customWidth="1"/>
    <col min="9996" max="9996" width="1.140625" style="164" customWidth="1"/>
    <col min="9997" max="9997" width="4.140625" style="164" customWidth="1"/>
    <col min="9998" max="9998" width="2.7109375" style="164" customWidth="1"/>
    <col min="9999" max="9999" width="2.28515625" style="164" customWidth="1"/>
    <col min="10000" max="10000" width="3.42578125" style="164" customWidth="1"/>
    <col min="10001" max="10001" width="20.140625" style="164" customWidth="1"/>
    <col min="10002" max="10002" width="1.5703125" style="164" customWidth="1"/>
    <col min="10003" max="10240" width="6.85546875" style="164"/>
    <col min="10241" max="10241" width="1.140625" style="164" customWidth="1"/>
    <col min="10242" max="10242" width="2.28515625" style="164" customWidth="1"/>
    <col min="10243" max="10243" width="8" style="164" customWidth="1"/>
    <col min="10244" max="10244" width="2.28515625" style="164" customWidth="1"/>
    <col min="10245" max="10245" width="1.140625" style="164" customWidth="1"/>
    <col min="10246" max="10246" width="14.85546875" style="164" customWidth="1"/>
    <col min="10247" max="10247" width="3.42578125" style="164" customWidth="1"/>
    <col min="10248" max="10248" width="2.28515625" style="164" customWidth="1"/>
    <col min="10249" max="10249" width="1.140625" style="164" customWidth="1"/>
    <col min="10250" max="10250" width="14.5703125" style="164" customWidth="1"/>
    <col min="10251" max="10251" width="10.28515625" style="164" customWidth="1"/>
    <col min="10252" max="10252" width="1.140625" style="164" customWidth="1"/>
    <col min="10253" max="10253" width="4.140625" style="164" customWidth="1"/>
    <col min="10254" max="10254" width="2.7109375" style="164" customWidth="1"/>
    <col min="10255" max="10255" width="2.28515625" style="164" customWidth="1"/>
    <col min="10256" max="10256" width="3.42578125" style="164" customWidth="1"/>
    <col min="10257" max="10257" width="20.140625" style="164" customWidth="1"/>
    <col min="10258" max="10258" width="1.5703125" style="164" customWidth="1"/>
    <col min="10259" max="10496" width="6.85546875" style="164"/>
    <col min="10497" max="10497" width="1.140625" style="164" customWidth="1"/>
    <col min="10498" max="10498" width="2.28515625" style="164" customWidth="1"/>
    <col min="10499" max="10499" width="8" style="164" customWidth="1"/>
    <col min="10500" max="10500" width="2.28515625" style="164" customWidth="1"/>
    <col min="10501" max="10501" width="1.140625" style="164" customWidth="1"/>
    <col min="10502" max="10502" width="14.85546875" style="164" customWidth="1"/>
    <col min="10503" max="10503" width="3.42578125" style="164" customWidth="1"/>
    <col min="10504" max="10504" width="2.28515625" style="164" customWidth="1"/>
    <col min="10505" max="10505" width="1.140625" style="164" customWidth="1"/>
    <col min="10506" max="10506" width="14.5703125" style="164" customWidth="1"/>
    <col min="10507" max="10507" width="10.28515625" style="164" customWidth="1"/>
    <col min="10508" max="10508" width="1.140625" style="164" customWidth="1"/>
    <col min="10509" max="10509" width="4.140625" style="164" customWidth="1"/>
    <col min="10510" max="10510" width="2.7109375" style="164" customWidth="1"/>
    <col min="10511" max="10511" width="2.28515625" style="164" customWidth="1"/>
    <col min="10512" max="10512" width="3.42578125" style="164" customWidth="1"/>
    <col min="10513" max="10513" width="20.140625" style="164" customWidth="1"/>
    <col min="10514" max="10514" width="1.5703125" style="164" customWidth="1"/>
    <col min="10515" max="10752" width="6.85546875" style="164"/>
    <col min="10753" max="10753" width="1.140625" style="164" customWidth="1"/>
    <col min="10754" max="10754" width="2.28515625" style="164" customWidth="1"/>
    <col min="10755" max="10755" width="8" style="164" customWidth="1"/>
    <col min="10756" max="10756" width="2.28515625" style="164" customWidth="1"/>
    <col min="10757" max="10757" width="1.140625" style="164" customWidth="1"/>
    <col min="10758" max="10758" width="14.85546875" style="164" customWidth="1"/>
    <col min="10759" max="10759" width="3.42578125" style="164" customWidth="1"/>
    <col min="10760" max="10760" width="2.28515625" style="164" customWidth="1"/>
    <col min="10761" max="10761" width="1.140625" style="164" customWidth="1"/>
    <col min="10762" max="10762" width="14.5703125" style="164" customWidth="1"/>
    <col min="10763" max="10763" width="10.28515625" style="164" customWidth="1"/>
    <col min="10764" max="10764" width="1.140625" style="164" customWidth="1"/>
    <col min="10765" max="10765" width="4.140625" style="164" customWidth="1"/>
    <col min="10766" max="10766" width="2.7109375" style="164" customWidth="1"/>
    <col min="10767" max="10767" width="2.28515625" style="164" customWidth="1"/>
    <col min="10768" max="10768" width="3.42578125" style="164" customWidth="1"/>
    <col min="10769" max="10769" width="20.140625" style="164" customWidth="1"/>
    <col min="10770" max="10770" width="1.5703125" style="164" customWidth="1"/>
    <col min="10771" max="11008" width="6.85546875" style="164"/>
    <col min="11009" max="11009" width="1.140625" style="164" customWidth="1"/>
    <col min="11010" max="11010" width="2.28515625" style="164" customWidth="1"/>
    <col min="11011" max="11011" width="8" style="164" customWidth="1"/>
    <col min="11012" max="11012" width="2.28515625" style="164" customWidth="1"/>
    <col min="11013" max="11013" width="1.140625" style="164" customWidth="1"/>
    <col min="11014" max="11014" width="14.85546875" style="164" customWidth="1"/>
    <col min="11015" max="11015" width="3.42578125" style="164" customWidth="1"/>
    <col min="11016" max="11016" width="2.28515625" style="164" customWidth="1"/>
    <col min="11017" max="11017" width="1.140625" style="164" customWidth="1"/>
    <col min="11018" max="11018" width="14.5703125" style="164" customWidth="1"/>
    <col min="11019" max="11019" width="10.28515625" style="164" customWidth="1"/>
    <col min="11020" max="11020" width="1.140625" style="164" customWidth="1"/>
    <col min="11021" max="11021" width="4.140625" style="164" customWidth="1"/>
    <col min="11022" max="11022" width="2.7109375" style="164" customWidth="1"/>
    <col min="11023" max="11023" width="2.28515625" style="164" customWidth="1"/>
    <col min="11024" max="11024" width="3.42578125" style="164" customWidth="1"/>
    <col min="11025" max="11025" width="20.140625" style="164" customWidth="1"/>
    <col min="11026" max="11026" width="1.5703125" style="164" customWidth="1"/>
    <col min="11027" max="11264" width="6.85546875" style="164"/>
    <col min="11265" max="11265" width="1.140625" style="164" customWidth="1"/>
    <col min="11266" max="11266" width="2.28515625" style="164" customWidth="1"/>
    <col min="11267" max="11267" width="8" style="164" customWidth="1"/>
    <col min="11268" max="11268" width="2.28515625" style="164" customWidth="1"/>
    <col min="11269" max="11269" width="1.140625" style="164" customWidth="1"/>
    <col min="11270" max="11270" width="14.85546875" style="164" customWidth="1"/>
    <col min="11271" max="11271" width="3.42578125" style="164" customWidth="1"/>
    <col min="11272" max="11272" width="2.28515625" style="164" customWidth="1"/>
    <col min="11273" max="11273" width="1.140625" style="164" customWidth="1"/>
    <col min="11274" max="11274" width="14.5703125" style="164" customWidth="1"/>
    <col min="11275" max="11275" width="10.28515625" style="164" customWidth="1"/>
    <col min="11276" max="11276" width="1.140625" style="164" customWidth="1"/>
    <col min="11277" max="11277" width="4.140625" style="164" customWidth="1"/>
    <col min="11278" max="11278" width="2.7109375" style="164" customWidth="1"/>
    <col min="11279" max="11279" width="2.28515625" style="164" customWidth="1"/>
    <col min="11280" max="11280" width="3.42578125" style="164" customWidth="1"/>
    <col min="11281" max="11281" width="20.140625" style="164" customWidth="1"/>
    <col min="11282" max="11282" width="1.5703125" style="164" customWidth="1"/>
    <col min="11283" max="11520" width="6.85546875" style="164"/>
    <col min="11521" max="11521" width="1.140625" style="164" customWidth="1"/>
    <col min="11522" max="11522" width="2.28515625" style="164" customWidth="1"/>
    <col min="11523" max="11523" width="8" style="164" customWidth="1"/>
    <col min="11524" max="11524" width="2.28515625" style="164" customWidth="1"/>
    <col min="11525" max="11525" width="1.140625" style="164" customWidth="1"/>
    <col min="11526" max="11526" width="14.85546875" style="164" customWidth="1"/>
    <col min="11527" max="11527" width="3.42578125" style="164" customWidth="1"/>
    <col min="11528" max="11528" width="2.28515625" style="164" customWidth="1"/>
    <col min="11529" max="11529" width="1.140625" style="164" customWidth="1"/>
    <col min="11530" max="11530" width="14.5703125" style="164" customWidth="1"/>
    <col min="11531" max="11531" width="10.28515625" style="164" customWidth="1"/>
    <col min="11532" max="11532" width="1.140625" style="164" customWidth="1"/>
    <col min="11533" max="11533" width="4.140625" style="164" customWidth="1"/>
    <col min="11534" max="11534" width="2.7109375" style="164" customWidth="1"/>
    <col min="11535" max="11535" width="2.28515625" style="164" customWidth="1"/>
    <col min="11536" max="11536" width="3.42578125" style="164" customWidth="1"/>
    <col min="11537" max="11537" width="20.140625" style="164" customWidth="1"/>
    <col min="11538" max="11538" width="1.5703125" style="164" customWidth="1"/>
    <col min="11539" max="11776" width="6.85546875" style="164"/>
    <col min="11777" max="11777" width="1.140625" style="164" customWidth="1"/>
    <col min="11778" max="11778" width="2.28515625" style="164" customWidth="1"/>
    <col min="11779" max="11779" width="8" style="164" customWidth="1"/>
    <col min="11780" max="11780" width="2.28515625" style="164" customWidth="1"/>
    <col min="11781" max="11781" width="1.140625" style="164" customWidth="1"/>
    <col min="11782" max="11782" width="14.85546875" style="164" customWidth="1"/>
    <col min="11783" max="11783" width="3.42578125" style="164" customWidth="1"/>
    <col min="11784" max="11784" width="2.28515625" style="164" customWidth="1"/>
    <col min="11785" max="11785" width="1.140625" style="164" customWidth="1"/>
    <col min="11786" max="11786" width="14.5703125" style="164" customWidth="1"/>
    <col min="11787" max="11787" width="10.28515625" style="164" customWidth="1"/>
    <col min="11788" max="11788" width="1.140625" style="164" customWidth="1"/>
    <col min="11789" max="11789" width="4.140625" style="164" customWidth="1"/>
    <col min="11790" max="11790" width="2.7109375" style="164" customWidth="1"/>
    <col min="11791" max="11791" width="2.28515625" style="164" customWidth="1"/>
    <col min="11792" max="11792" width="3.42578125" style="164" customWidth="1"/>
    <col min="11793" max="11793" width="20.140625" style="164" customWidth="1"/>
    <col min="11794" max="11794" width="1.5703125" style="164" customWidth="1"/>
    <col min="11795" max="12032" width="6.85546875" style="164"/>
    <col min="12033" max="12033" width="1.140625" style="164" customWidth="1"/>
    <col min="12034" max="12034" width="2.28515625" style="164" customWidth="1"/>
    <col min="12035" max="12035" width="8" style="164" customWidth="1"/>
    <col min="12036" max="12036" width="2.28515625" style="164" customWidth="1"/>
    <col min="12037" max="12037" width="1.140625" style="164" customWidth="1"/>
    <col min="12038" max="12038" width="14.85546875" style="164" customWidth="1"/>
    <col min="12039" max="12039" width="3.42578125" style="164" customWidth="1"/>
    <col min="12040" max="12040" width="2.28515625" style="164" customWidth="1"/>
    <col min="12041" max="12041" width="1.140625" style="164" customWidth="1"/>
    <col min="12042" max="12042" width="14.5703125" style="164" customWidth="1"/>
    <col min="12043" max="12043" width="10.28515625" style="164" customWidth="1"/>
    <col min="12044" max="12044" width="1.140625" style="164" customWidth="1"/>
    <col min="12045" max="12045" width="4.140625" style="164" customWidth="1"/>
    <col min="12046" max="12046" width="2.7109375" style="164" customWidth="1"/>
    <col min="12047" max="12047" width="2.28515625" style="164" customWidth="1"/>
    <col min="12048" max="12048" width="3.42578125" style="164" customWidth="1"/>
    <col min="12049" max="12049" width="20.140625" style="164" customWidth="1"/>
    <col min="12050" max="12050" width="1.5703125" style="164" customWidth="1"/>
    <col min="12051" max="12288" width="6.85546875" style="164"/>
    <col min="12289" max="12289" width="1.140625" style="164" customWidth="1"/>
    <col min="12290" max="12290" width="2.28515625" style="164" customWidth="1"/>
    <col min="12291" max="12291" width="8" style="164" customWidth="1"/>
    <col min="12292" max="12292" width="2.28515625" style="164" customWidth="1"/>
    <col min="12293" max="12293" width="1.140625" style="164" customWidth="1"/>
    <col min="12294" max="12294" width="14.85546875" style="164" customWidth="1"/>
    <col min="12295" max="12295" width="3.42578125" style="164" customWidth="1"/>
    <col min="12296" max="12296" width="2.28515625" style="164" customWidth="1"/>
    <col min="12297" max="12297" width="1.140625" style="164" customWidth="1"/>
    <col min="12298" max="12298" width="14.5703125" style="164" customWidth="1"/>
    <col min="12299" max="12299" width="10.28515625" style="164" customWidth="1"/>
    <col min="12300" max="12300" width="1.140625" style="164" customWidth="1"/>
    <col min="12301" max="12301" width="4.140625" style="164" customWidth="1"/>
    <col min="12302" max="12302" width="2.7109375" style="164" customWidth="1"/>
    <col min="12303" max="12303" width="2.28515625" style="164" customWidth="1"/>
    <col min="12304" max="12304" width="3.42578125" style="164" customWidth="1"/>
    <col min="12305" max="12305" width="20.140625" style="164" customWidth="1"/>
    <col min="12306" max="12306" width="1.5703125" style="164" customWidth="1"/>
    <col min="12307" max="12544" width="6.85546875" style="164"/>
    <col min="12545" max="12545" width="1.140625" style="164" customWidth="1"/>
    <col min="12546" max="12546" width="2.28515625" style="164" customWidth="1"/>
    <col min="12547" max="12547" width="8" style="164" customWidth="1"/>
    <col min="12548" max="12548" width="2.28515625" style="164" customWidth="1"/>
    <col min="12549" max="12549" width="1.140625" style="164" customWidth="1"/>
    <col min="12550" max="12550" width="14.85546875" style="164" customWidth="1"/>
    <col min="12551" max="12551" width="3.42578125" style="164" customWidth="1"/>
    <col min="12552" max="12552" width="2.28515625" style="164" customWidth="1"/>
    <col min="12553" max="12553" width="1.140625" style="164" customWidth="1"/>
    <col min="12554" max="12554" width="14.5703125" style="164" customWidth="1"/>
    <col min="12555" max="12555" width="10.28515625" style="164" customWidth="1"/>
    <col min="12556" max="12556" width="1.140625" style="164" customWidth="1"/>
    <col min="12557" max="12557" width="4.140625" style="164" customWidth="1"/>
    <col min="12558" max="12558" width="2.7109375" style="164" customWidth="1"/>
    <col min="12559" max="12559" width="2.28515625" style="164" customWidth="1"/>
    <col min="12560" max="12560" width="3.42578125" style="164" customWidth="1"/>
    <col min="12561" max="12561" width="20.140625" style="164" customWidth="1"/>
    <col min="12562" max="12562" width="1.5703125" style="164" customWidth="1"/>
    <col min="12563" max="12800" width="6.85546875" style="164"/>
    <col min="12801" max="12801" width="1.140625" style="164" customWidth="1"/>
    <col min="12802" max="12802" width="2.28515625" style="164" customWidth="1"/>
    <col min="12803" max="12803" width="8" style="164" customWidth="1"/>
    <col min="12804" max="12804" width="2.28515625" style="164" customWidth="1"/>
    <col min="12805" max="12805" width="1.140625" style="164" customWidth="1"/>
    <col min="12806" max="12806" width="14.85546875" style="164" customWidth="1"/>
    <col min="12807" max="12807" width="3.42578125" style="164" customWidth="1"/>
    <col min="12808" max="12808" width="2.28515625" style="164" customWidth="1"/>
    <col min="12809" max="12809" width="1.140625" style="164" customWidth="1"/>
    <col min="12810" max="12810" width="14.5703125" style="164" customWidth="1"/>
    <col min="12811" max="12811" width="10.28515625" style="164" customWidth="1"/>
    <col min="12812" max="12812" width="1.140625" style="164" customWidth="1"/>
    <col min="12813" max="12813" width="4.140625" style="164" customWidth="1"/>
    <col min="12814" max="12814" width="2.7109375" style="164" customWidth="1"/>
    <col min="12815" max="12815" width="2.28515625" style="164" customWidth="1"/>
    <col min="12816" max="12816" width="3.42578125" style="164" customWidth="1"/>
    <col min="12817" max="12817" width="20.140625" style="164" customWidth="1"/>
    <col min="12818" max="12818" width="1.5703125" style="164" customWidth="1"/>
    <col min="12819" max="13056" width="6.85546875" style="164"/>
    <col min="13057" max="13057" width="1.140625" style="164" customWidth="1"/>
    <col min="13058" max="13058" width="2.28515625" style="164" customWidth="1"/>
    <col min="13059" max="13059" width="8" style="164" customWidth="1"/>
    <col min="13060" max="13060" width="2.28515625" style="164" customWidth="1"/>
    <col min="13061" max="13061" width="1.140625" style="164" customWidth="1"/>
    <col min="13062" max="13062" width="14.85546875" style="164" customWidth="1"/>
    <col min="13063" max="13063" width="3.42578125" style="164" customWidth="1"/>
    <col min="13064" max="13064" width="2.28515625" style="164" customWidth="1"/>
    <col min="13065" max="13065" width="1.140625" style="164" customWidth="1"/>
    <col min="13066" max="13066" width="14.5703125" style="164" customWidth="1"/>
    <col min="13067" max="13067" width="10.28515625" style="164" customWidth="1"/>
    <col min="13068" max="13068" width="1.140625" style="164" customWidth="1"/>
    <col min="13069" max="13069" width="4.140625" style="164" customWidth="1"/>
    <col min="13070" max="13070" width="2.7109375" style="164" customWidth="1"/>
    <col min="13071" max="13071" width="2.28515625" style="164" customWidth="1"/>
    <col min="13072" max="13072" width="3.42578125" style="164" customWidth="1"/>
    <col min="13073" max="13073" width="20.140625" style="164" customWidth="1"/>
    <col min="13074" max="13074" width="1.5703125" style="164" customWidth="1"/>
    <col min="13075" max="13312" width="6.85546875" style="164"/>
    <col min="13313" max="13313" width="1.140625" style="164" customWidth="1"/>
    <col min="13314" max="13314" width="2.28515625" style="164" customWidth="1"/>
    <col min="13315" max="13315" width="8" style="164" customWidth="1"/>
    <col min="13316" max="13316" width="2.28515625" style="164" customWidth="1"/>
    <col min="13317" max="13317" width="1.140625" style="164" customWidth="1"/>
    <col min="13318" max="13318" width="14.85546875" style="164" customWidth="1"/>
    <col min="13319" max="13319" width="3.42578125" style="164" customWidth="1"/>
    <col min="13320" max="13320" width="2.28515625" style="164" customWidth="1"/>
    <col min="13321" max="13321" width="1.140625" style="164" customWidth="1"/>
    <col min="13322" max="13322" width="14.5703125" style="164" customWidth="1"/>
    <col min="13323" max="13323" width="10.28515625" style="164" customWidth="1"/>
    <col min="13324" max="13324" width="1.140625" style="164" customWidth="1"/>
    <col min="13325" max="13325" width="4.140625" style="164" customWidth="1"/>
    <col min="13326" max="13326" width="2.7109375" style="164" customWidth="1"/>
    <col min="13327" max="13327" width="2.28515625" style="164" customWidth="1"/>
    <col min="13328" max="13328" width="3.42578125" style="164" customWidth="1"/>
    <col min="13329" max="13329" width="20.140625" style="164" customWidth="1"/>
    <col min="13330" max="13330" width="1.5703125" style="164" customWidth="1"/>
    <col min="13331" max="13568" width="6.85546875" style="164"/>
    <col min="13569" max="13569" width="1.140625" style="164" customWidth="1"/>
    <col min="13570" max="13570" width="2.28515625" style="164" customWidth="1"/>
    <col min="13571" max="13571" width="8" style="164" customWidth="1"/>
    <col min="13572" max="13572" width="2.28515625" style="164" customWidth="1"/>
    <col min="13573" max="13573" width="1.140625" style="164" customWidth="1"/>
    <col min="13574" max="13574" width="14.85546875" style="164" customWidth="1"/>
    <col min="13575" max="13575" width="3.42578125" style="164" customWidth="1"/>
    <col min="13576" max="13576" width="2.28515625" style="164" customWidth="1"/>
    <col min="13577" max="13577" width="1.140625" style="164" customWidth="1"/>
    <col min="13578" max="13578" width="14.5703125" style="164" customWidth="1"/>
    <col min="13579" max="13579" width="10.28515625" style="164" customWidth="1"/>
    <col min="13580" max="13580" width="1.140625" style="164" customWidth="1"/>
    <col min="13581" max="13581" width="4.140625" style="164" customWidth="1"/>
    <col min="13582" max="13582" width="2.7109375" style="164" customWidth="1"/>
    <col min="13583" max="13583" width="2.28515625" style="164" customWidth="1"/>
    <col min="13584" max="13584" width="3.42578125" style="164" customWidth="1"/>
    <col min="13585" max="13585" width="20.140625" style="164" customWidth="1"/>
    <col min="13586" max="13586" width="1.5703125" style="164" customWidth="1"/>
    <col min="13587" max="13824" width="6.85546875" style="164"/>
    <col min="13825" max="13825" width="1.140625" style="164" customWidth="1"/>
    <col min="13826" max="13826" width="2.28515625" style="164" customWidth="1"/>
    <col min="13827" max="13827" width="8" style="164" customWidth="1"/>
    <col min="13828" max="13828" width="2.28515625" style="164" customWidth="1"/>
    <col min="13829" max="13829" width="1.140625" style="164" customWidth="1"/>
    <col min="13830" max="13830" width="14.85546875" style="164" customWidth="1"/>
    <col min="13831" max="13831" width="3.42578125" style="164" customWidth="1"/>
    <col min="13832" max="13832" width="2.28515625" style="164" customWidth="1"/>
    <col min="13833" max="13833" width="1.140625" style="164" customWidth="1"/>
    <col min="13834" max="13834" width="14.5703125" style="164" customWidth="1"/>
    <col min="13835" max="13835" width="10.28515625" style="164" customWidth="1"/>
    <col min="13836" max="13836" width="1.140625" style="164" customWidth="1"/>
    <col min="13837" max="13837" width="4.140625" style="164" customWidth="1"/>
    <col min="13838" max="13838" width="2.7109375" style="164" customWidth="1"/>
    <col min="13839" max="13839" width="2.28515625" style="164" customWidth="1"/>
    <col min="13840" max="13840" width="3.42578125" style="164" customWidth="1"/>
    <col min="13841" max="13841" width="20.140625" style="164" customWidth="1"/>
    <col min="13842" max="13842" width="1.5703125" style="164" customWidth="1"/>
    <col min="13843" max="14080" width="6.85546875" style="164"/>
    <col min="14081" max="14081" width="1.140625" style="164" customWidth="1"/>
    <col min="14082" max="14082" width="2.28515625" style="164" customWidth="1"/>
    <col min="14083" max="14083" width="8" style="164" customWidth="1"/>
    <col min="14084" max="14084" width="2.28515625" style="164" customWidth="1"/>
    <col min="14085" max="14085" width="1.140625" style="164" customWidth="1"/>
    <col min="14086" max="14086" width="14.85546875" style="164" customWidth="1"/>
    <col min="14087" max="14087" width="3.42578125" style="164" customWidth="1"/>
    <col min="14088" max="14088" width="2.28515625" style="164" customWidth="1"/>
    <col min="14089" max="14089" width="1.140625" style="164" customWidth="1"/>
    <col min="14090" max="14090" width="14.5703125" style="164" customWidth="1"/>
    <col min="14091" max="14091" width="10.28515625" style="164" customWidth="1"/>
    <col min="14092" max="14092" width="1.140625" style="164" customWidth="1"/>
    <col min="14093" max="14093" width="4.140625" style="164" customWidth="1"/>
    <col min="14094" max="14094" width="2.7109375" style="164" customWidth="1"/>
    <col min="14095" max="14095" width="2.28515625" style="164" customWidth="1"/>
    <col min="14096" max="14096" width="3.42578125" style="164" customWidth="1"/>
    <col min="14097" max="14097" width="20.140625" style="164" customWidth="1"/>
    <col min="14098" max="14098" width="1.5703125" style="164" customWidth="1"/>
    <col min="14099" max="14336" width="6.85546875" style="164"/>
    <col min="14337" max="14337" width="1.140625" style="164" customWidth="1"/>
    <col min="14338" max="14338" width="2.28515625" style="164" customWidth="1"/>
    <col min="14339" max="14339" width="8" style="164" customWidth="1"/>
    <col min="14340" max="14340" width="2.28515625" style="164" customWidth="1"/>
    <col min="14341" max="14341" width="1.140625" style="164" customWidth="1"/>
    <col min="14342" max="14342" width="14.85546875" style="164" customWidth="1"/>
    <col min="14343" max="14343" width="3.42578125" style="164" customWidth="1"/>
    <col min="14344" max="14344" width="2.28515625" style="164" customWidth="1"/>
    <col min="14345" max="14345" width="1.140625" style="164" customWidth="1"/>
    <col min="14346" max="14346" width="14.5703125" style="164" customWidth="1"/>
    <col min="14347" max="14347" width="10.28515625" style="164" customWidth="1"/>
    <col min="14348" max="14348" width="1.140625" style="164" customWidth="1"/>
    <col min="14349" max="14349" width="4.140625" style="164" customWidth="1"/>
    <col min="14350" max="14350" width="2.7109375" style="164" customWidth="1"/>
    <col min="14351" max="14351" width="2.28515625" style="164" customWidth="1"/>
    <col min="14352" max="14352" width="3.42578125" style="164" customWidth="1"/>
    <col min="14353" max="14353" width="20.140625" style="164" customWidth="1"/>
    <col min="14354" max="14354" width="1.5703125" style="164" customWidth="1"/>
    <col min="14355" max="14592" width="6.85546875" style="164"/>
    <col min="14593" max="14593" width="1.140625" style="164" customWidth="1"/>
    <col min="14594" max="14594" width="2.28515625" style="164" customWidth="1"/>
    <col min="14595" max="14595" width="8" style="164" customWidth="1"/>
    <col min="14596" max="14596" width="2.28515625" style="164" customWidth="1"/>
    <col min="14597" max="14597" width="1.140625" style="164" customWidth="1"/>
    <col min="14598" max="14598" width="14.85546875" style="164" customWidth="1"/>
    <col min="14599" max="14599" width="3.42578125" style="164" customWidth="1"/>
    <col min="14600" max="14600" width="2.28515625" style="164" customWidth="1"/>
    <col min="14601" max="14601" width="1.140625" style="164" customWidth="1"/>
    <col min="14602" max="14602" width="14.5703125" style="164" customWidth="1"/>
    <col min="14603" max="14603" width="10.28515625" style="164" customWidth="1"/>
    <col min="14604" max="14604" width="1.140625" style="164" customWidth="1"/>
    <col min="14605" max="14605" width="4.140625" style="164" customWidth="1"/>
    <col min="14606" max="14606" width="2.7109375" style="164" customWidth="1"/>
    <col min="14607" max="14607" width="2.28515625" style="164" customWidth="1"/>
    <col min="14608" max="14608" width="3.42578125" style="164" customWidth="1"/>
    <col min="14609" max="14609" width="20.140625" style="164" customWidth="1"/>
    <col min="14610" max="14610" width="1.5703125" style="164" customWidth="1"/>
    <col min="14611" max="14848" width="6.85546875" style="164"/>
    <col min="14849" max="14849" width="1.140625" style="164" customWidth="1"/>
    <col min="14850" max="14850" width="2.28515625" style="164" customWidth="1"/>
    <col min="14851" max="14851" width="8" style="164" customWidth="1"/>
    <col min="14852" max="14852" width="2.28515625" style="164" customWidth="1"/>
    <col min="14853" max="14853" width="1.140625" style="164" customWidth="1"/>
    <col min="14854" max="14854" width="14.85546875" style="164" customWidth="1"/>
    <col min="14855" max="14855" width="3.42578125" style="164" customWidth="1"/>
    <col min="14856" max="14856" width="2.28515625" style="164" customWidth="1"/>
    <col min="14857" max="14857" width="1.140625" style="164" customWidth="1"/>
    <col min="14858" max="14858" width="14.5703125" style="164" customWidth="1"/>
    <col min="14859" max="14859" width="10.28515625" style="164" customWidth="1"/>
    <col min="14860" max="14860" width="1.140625" style="164" customWidth="1"/>
    <col min="14861" max="14861" width="4.140625" style="164" customWidth="1"/>
    <col min="14862" max="14862" width="2.7109375" style="164" customWidth="1"/>
    <col min="14863" max="14863" width="2.28515625" style="164" customWidth="1"/>
    <col min="14864" max="14864" width="3.42578125" style="164" customWidth="1"/>
    <col min="14865" max="14865" width="20.140625" style="164" customWidth="1"/>
    <col min="14866" max="14866" width="1.5703125" style="164" customWidth="1"/>
    <col min="14867" max="15104" width="6.85546875" style="164"/>
    <col min="15105" max="15105" width="1.140625" style="164" customWidth="1"/>
    <col min="15106" max="15106" width="2.28515625" style="164" customWidth="1"/>
    <col min="15107" max="15107" width="8" style="164" customWidth="1"/>
    <col min="15108" max="15108" width="2.28515625" style="164" customWidth="1"/>
    <col min="15109" max="15109" width="1.140625" style="164" customWidth="1"/>
    <col min="15110" max="15110" width="14.85546875" style="164" customWidth="1"/>
    <col min="15111" max="15111" width="3.42578125" style="164" customWidth="1"/>
    <col min="15112" max="15112" width="2.28515625" style="164" customWidth="1"/>
    <col min="15113" max="15113" width="1.140625" style="164" customWidth="1"/>
    <col min="15114" max="15114" width="14.5703125" style="164" customWidth="1"/>
    <col min="15115" max="15115" width="10.28515625" style="164" customWidth="1"/>
    <col min="15116" max="15116" width="1.140625" style="164" customWidth="1"/>
    <col min="15117" max="15117" width="4.140625" style="164" customWidth="1"/>
    <col min="15118" max="15118" width="2.7109375" style="164" customWidth="1"/>
    <col min="15119" max="15119" width="2.28515625" style="164" customWidth="1"/>
    <col min="15120" max="15120" width="3.42578125" style="164" customWidth="1"/>
    <col min="15121" max="15121" width="20.140625" style="164" customWidth="1"/>
    <col min="15122" max="15122" width="1.5703125" style="164" customWidth="1"/>
    <col min="15123" max="15360" width="6.85546875" style="164"/>
    <col min="15361" max="15361" width="1.140625" style="164" customWidth="1"/>
    <col min="15362" max="15362" width="2.28515625" style="164" customWidth="1"/>
    <col min="15363" max="15363" width="8" style="164" customWidth="1"/>
    <col min="15364" max="15364" width="2.28515625" style="164" customWidth="1"/>
    <col min="15365" max="15365" width="1.140625" style="164" customWidth="1"/>
    <col min="15366" max="15366" width="14.85546875" style="164" customWidth="1"/>
    <col min="15367" max="15367" width="3.42578125" style="164" customWidth="1"/>
    <col min="15368" max="15368" width="2.28515625" style="164" customWidth="1"/>
    <col min="15369" max="15369" width="1.140625" style="164" customWidth="1"/>
    <col min="15370" max="15370" width="14.5703125" style="164" customWidth="1"/>
    <col min="15371" max="15371" width="10.28515625" style="164" customWidth="1"/>
    <col min="15372" max="15372" width="1.140625" style="164" customWidth="1"/>
    <col min="15373" max="15373" width="4.140625" style="164" customWidth="1"/>
    <col min="15374" max="15374" width="2.7109375" style="164" customWidth="1"/>
    <col min="15375" max="15375" width="2.28515625" style="164" customWidth="1"/>
    <col min="15376" max="15376" width="3.42578125" style="164" customWidth="1"/>
    <col min="15377" max="15377" width="20.140625" style="164" customWidth="1"/>
    <col min="15378" max="15378" width="1.5703125" style="164" customWidth="1"/>
    <col min="15379" max="15616" width="6.85546875" style="164"/>
    <col min="15617" max="15617" width="1.140625" style="164" customWidth="1"/>
    <col min="15618" max="15618" width="2.28515625" style="164" customWidth="1"/>
    <col min="15619" max="15619" width="8" style="164" customWidth="1"/>
    <col min="15620" max="15620" width="2.28515625" style="164" customWidth="1"/>
    <col min="15621" max="15621" width="1.140625" style="164" customWidth="1"/>
    <col min="15622" max="15622" width="14.85546875" style="164" customWidth="1"/>
    <col min="15623" max="15623" width="3.42578125" style="164" customWidth="1"/>
    <col min="15624" max="15624" width="2.28515625" style="164" customWidth="1"/>
    <col min="15625" max="15625" width="1.140625" style="164" customWidth="1"/>
    <col min="15626" max="15626" width="14.5703125" style="164" customWidth="1"/>
    <col min="15627" max="15627" width="10.28515625" style="164" customWidth="1"/>
    <col min="15628" max="15628" width="1.140625" style="164" customWidth="1"/>
    <col min="15629" max="15629" width="4.140625" style="164" customWidth="1"/>
    <col min="15630" max="15630" width="2.7109375" style="164" customWidth="1"/>
    <col min="15631" max="15631" width="2.28515625" style="164" customWidth="1"/>
    <col min="15632" max="15632" width="3.42578125" style="164" customWidth="1"/>
    <col min="15633" max="15633" width="20.140625" style="164" customWidth="1"/>
    <col min="15634" max="15634" width="1.5703125" style="164" customWidth="1"/>
    <col min="15635" max="15872" width="6.85546875" style="164"/>
    <col min="15873" max="15873" width="1.140625" style="164" customWidth="1"/>
    <col min="15874" max="15874" width="2.28515625" style="164" customWidth="1"/>
    <col min="15875" max="15875" width="8" style="164" customWidth="1"/>
    <col min="15876" max="15876" width="2.28515625" style="164" customWidth="1"/>
    <col min="15877" max="15877" width="1.140625" style="164" customWidth="1"/>
    <col min="15878" max="15878" width="14.85546875" style="164" customWidth="1"/>
    <col min="15879" max="15879" width="3.42578125" style="164" customWidth="1"/>
    <col min="15880" max="15880" width="2.28515625" style="164" customWidth="1"/>
    <col min="15881" max="15881" width="1.140625" style="164" customWidth="1"/>
    <col min="15882" max="15882" width="14.5703125" style="164" customWidth="1"/>
    <col min="15883" max="15883" width="10.28515625" style="164" customWidth="1"/>
    <col min="15884" max="15884" width="1.140625" style="164" customWidth="1"/>
    <col min="15885" max="15885" width="4.140625" style="164" customWidth="1"/>
    <col min="15886" max="15886" width="2.7109375" style="164" customWidth="1"/>
    <col min="15887" max="15887" width="2.28515625" style="164" customWidth="1"/>
    <col min="15888" max="15888" width="3.42578125" style="164" customWidth="1"/>
    <col min="15889" max="15889" width="20.140625" style="164" customWidth="1"/>
    <col min="15890" max="15890" width="1.5703125" style="164" customWidth="1"/>
    <col min="15891" max="16128" width="6.85546875" style="164"/>
    <col min="16129" max="16129" width="1.140625" style="164" customWidth="1"/>
    <col min="16130" max="16130" width="2.28515625" style="164" customWidth="1"/>
    <col min="16131" max="16131" width="8" style="164" customWidth="1"/>
    <col min="16132" max="16132" width="2.28515625" style="164" customWidth="1"/>
    <col min="16133" max="16133" width="1.140625" style="164" customWidth="1"/>
    <col min="16134" max="16134" width="14.85546875" style="164" customWidth="1"/>
    <col min="16135" max="16135" width="3.42578125" style="164" customWidth="1"/>
    <col min="16136" max="16136" width="2.28515625" style="164" customWidth="1"/>
    <col min="16137" max="16137" width="1.140625" style="164" customWidth="1"/>
    <col min="16138" max="16138" width="14.5703125" style="164" customWidth="1"/>
    <col min="16139" max="16139" width="10.28515625" style="164" customWidth="1"/>
    <col min="16140" max="16140" width="1.140625" style="164" customWidth="1"/>
    <col min="16141" max="16141" width="4.140625" style="164" customWidth="1"/>
    <col min="16142" max="16142" width="2.7109375" style="164" customWidth="1"/>
    <col min="16143" max="16143" width="2.28515625" style="164" customWidth="1"/>
    <col min="16144" max="16144" width="3.42578125" style="164" customWidth="1"/>
    <col min="16145" max="16145" width="20.140625" style="164" customWidth="1"/>
    <col min="16146" max="16146" width="1.5703125" style="164" customWidth="1"/>
    <col min="16147" max="16384" width="6.85546875" style="164"/>
  </cols>
  <sheetData>
    <row r="1" spans="1:18" ht="13.5" customHeight="1" x14ac:dyDescent="0.25">
      <c r="A1" s="224" t="s">
        <v>240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ht="6" customHeight="1" x14ac:dyDescent="0.25"/>
    <row r="3" spans="1:18" ht="57" customHeight="1" x14ac:dyDescent="0.25"/>
    <row r="4" spans="1:18" ht="15.75" customHeight="1" x14ac:dyDescent="0.25">
      <c r="A4" s="224" t="s">
        <v>241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ht="6" customHeight="1" x14ac:dyDescent="0.25"/>
    <row r="6" spans="1:18" ht="16.5" customHeight="1" x14ac:dyDescent="0.25">
      <c r="A6" s="224" t="s">
        <v>291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6" customHeight="1" x14ac:dyDescent="0.25"/>
    <row r="8" spans="1:18" ht="18.75" customHeight="1" x14ac:dyDescent="0.25">
      <c r="A8" s="220" t="s">
        <v>242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N8" s="223" t="s">
        <v>243</v>
      </c>
      <c r="O8" s="223"/>
      <c r="P8" s="223"/>
      <c r="Q8" s="223"/>
    </row>
    <row r="9" spans="1:18" ht="21.75" customHeight="1" x14ac:dyDescent="0.25"/>
    <row r="10" spans="1:18" ht="16.5" customHeight="1" x14ac:dyDescent="0.25">
      <c r="B10" s="217" t="s">
        <v>290</v>
      </c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Q10" s="167">
        <v>1371374.09</v>
      </c>
    </row>
    <row r="11" spans="1:18" ht="13.5" customHeight="1" x14ac:dyDescent="0.25">
      <c r="C11" s="166" t="s">
        <v>244</v>
      </c>
    </row>
    <row r="12" spans="1:18" ht="9" customHeight="1" x14ac:dyDescent="0.25"/>
    <row r="13" spans="1:18" ht="13.5" customHeight="1" x14ac:dyDescent="0.25">
      <c r="C13" s="217" t="s">
        <v>245</v>
      </c>
      <c r="D13" s="217"/>
      <c r="E13" s="217"/>
      <c r="F13" s="217"/>
      <c r="G13" s="217"/>
      <c r="H13" s="217"/>
      <c r="J13" s="219">
        <v>0</v>
      </c>
      <c r="K13" s="219"/>
      <c r="L13" s="219"/>
      <c r="M13" s="219"/>
      <c r="N13" s="219"/>
    </row>
    <row r="14" spans="1:18" ht="18" customHeight="1" x14ac:dyDescent="0.25"/>
    <row r="15" spans="1:18" ht="13.5" customHeight="1" x14ac:dyDescent="0.25">
      <c r="C15" s="217" t="s">
        <v>246</v>
      </c>
      <c r="D15" s="217"/>
      <c r="E15" s="217"/>
      <c r="F15" s="217"/>
      <c r="G15" s="217"/>
      <c r="H15" s="217"/>
      <c r="J15" s="219">
        <v>0</v>
      </c>
      <c r="K15" s="219"/>
      <c r="L15" s="219"/>
      <c r="M15" s="219"/>
      <c r="N15" s="219"/>
    </row>
    <row r="16" spans="1:18" ht="6" customHeight="1" x14ac:dyDescent="0.25"/>
    <row r="17" spans="2:17" ht="13.5" customHeight="1" x14ac:dyDescent="0.25">
      <c r="C17" s="217" t="s">
        <v>247</v>
      </c>
      <c r="D17" s="217"/>
      <c r="E17" s="217"/>
      <c r="F17" s="217"/>
      <c r="G17" s="217"/>
      <c r="H17" s="217"/>
      <c r="Q17" s="165" t="s">
        <v>248</v>
      </c>
    </row>
    <row r="18" spans="2:17" ht="12" customHeight="1" x14ac:dyDescent="0.25"/>
    <row r="19" spans="2:17" ht="13.5" customHeight="1" x14ac:dyDescent="0.25">
      <c r="Q19" s="167">
        <v>1371374.09</v>
      </c>
    </row>
    <row r="20" spans="2:17" ht="9" customHeight="1" x14ac:dyDescent="0.25"/>
    <row r="21" spans="2:17" ht="13.5" customHeight="1" x14ac:dyDescent="0.25">
      <c r="C21" s="166" t="s">
        <v>249</v>
      </c>
    </row>
    <row r="22" spans="2:17" ht="9" customHeight="1" x14ac:dyDescent="0.25"/>
    <row r="23" spans="2:17" ht="13.5" customHeight="1" x14ac:dyDescent="0.25">
      <c r="C23" s="217" t="s">
        <v>250</v>
      </c>
      <c r="D23" s="217"/>
      <c r="E23" s="217"/>
      <c r="F23" s="217"/>
      <c r="G23" s="217"/>
      <c r="H23" s="217"/>
      <c r="J23" s="219">
        <v>0</v>
      </c>
      <c r="K23" s="219"/>
      <c r="L23" s="219"/>
      <c r="M23" s="219"/>
      <c r="N23" s="219"/>
    </row>
    <row r="24" spans="2:17" ht="12" customHeight="1" x14ac:dyDescent="0.25"/>
    <row r="25" spans="2:17" ht="13.5" customHeight="1" x14ac:dyDescent="0.25">
      <c r="C25" s="217" t="s">
        <v>251</v>
      </c>
      <c r="D25" s="217"/>
      <c r="E25" s="217"/>
      <c r="F25" s="217"/>
      <c r="G25" s="217"/>
      <c r="H25" s="217"/>
      <c r="J25" s="219">
        <v>0</v>
      </c>
      <c r="K25" s="219"/>
      <c r="L25" s="219"/>
      <c r="M25" s="219"/>
      <c r="N25" s="219"/>
    </row>
    <row r="26" spans="2:17" ht="12" customHeight="1" x14ac:dyDescent="0.25"/>
    <row r="27" spans="2:17" ht="13.5" customHeight="1" x14ac:dyDescent="0.25">
      <c r="C27" s="217" t="s">
        <v>252</v>
      </c>
      <c r="D27" s="217"/>
      <c r="E27" s="217"/>
      <c r="F27" s="217"/>
      <c r="G27" s="217"/>
      <c r="H27" s="217"/>
      <c r="Q27" s="165" t="s">
        <v>253</v>
      </c>
    </row>
    <row r="28" spans="2:17" ht="42" customHeight="1" x14ac:dyDescent="0.25"/>
    <row r="29" spans="2:17" ht="13.5" customHeight="1" x14ac:dyDescent="0.25">
      <c r="B29" s="217" t="s">
        <v>254</v>
      </c>
      <c r="C29" s="217"/>
      <c r="D29" s="217"/>
      <c r="E29" s="217"/>
      <c r="F29" s="217"/>
      <c r="G29" s="217"/>
      <c r="Q29" s="168">
        <v>1371374.09</v>
      </c>
    </row>
    <row r="30" spans="2:17" ht="12" customHeight="1" x14ac:dyDescent="0.25"/>
    <row r="31" spans="2:17" ht="13.5" customHeight="1" x14ac:dyDescent="0.25">
      <c r="B31" s="217" t="s">
        <v>255</v>
      </c>
      <c r="C31" s="217"/>
      <c r="D31" s="217"/>
      <c r="E31" s="217"/>
      <c r="F31" s="217"/>
      <c r="G31" s="217"/>
      <c r="Q31" s="168">
        <v>1371374.09</v>
      </c>
    </row>
    <row r="32" spans="2:17" ht="27.75" customHeight="1" x14ac:dyDescent="0.25"/>
    <row r="33" spans="1:21" ht="12" customHeight="1" x14ac:dyDescent="0.25"/>
    <row r="34" spans="1:21" ht="13.5" customHeight="1" x14ac:dyDescent="0.25">
      <c r="B34" s="220" t="s">
        <v>256</v>
      </c>
      <c r="C34" s="220"/>
      <c r="D34" s="220"/>
      <c r="F34" s="221"/>
      <c r="G34" s="221"/>
      <c r="H34" s="221"/>
      <c r="I34" s="221"/>
      <c r="J34" s="221"/>
    </row>
    <row r="35" spans="1:21" ht="18" customHeight="1" x14ac:dyDescent="0.25"/>
    <row r="36" spans="1:21" ht="13.5" customHeight="1" x14ac:dyDescent="0.25">
      <c r="B36" s="220" t="s">
        <v>257</v>
      </c>
      <c r="C36" s="220"/>
      <c r="D36" s="220"/>
      <c r="F36" s="221"/>
      <c r="G36" s="221"/>
      <c r="H36" s="221"/>
      <c r="I36" s="221"/>
      <c r="J36" s="221"/>
      <c r="M36" s="222" t="s">
        <v>258</v>
      </c>
      <c r="N36" s="222"/>
      <c r="O36" s="222"/>
      <c r="P36" s="222"/>
      <c r="Q36" s="222"/>
    </row>
    <row r="37" spans="1:21" ht="8.25" customHeight="1" x14ac:dyDescent="0.25"/>
    <row r="38" spans="1:21" ht="169.5" customHeight="1" x14ac:dyDescent="0.25"/>
    <row r="39" spans="1:21" ht="6" customHeight="1" x14ac:dyDescent="0.25"/>
    <row r="40" spans="1:21" ht="13.5" customHeight="1" x14ac:dyDescent="0.25">
      <c r="A40" s="217"/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23" t="s">
        <v>292</v>
      </c>
      <c r="N40" s="223"/>
      <c r="O40" s="223"/>
      <c r="P40" s="223"/>
      <c r="Q40" s="223"/>
      <c r="R40" s="223"/>
      <c r="S40" s="223"/>
      <c r="T40" s="223"/>
      <c r="U40" s="223"/>
    </row>
    <row r="41" spans="1:21" ht="13.5" customHeight="1" x14ac:dyDescent="0.25">
      <c r="A41" s="217" t="s">
        <v>259</v>
      </c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P41" s="218" t="s">
        <v>260</v>
      </c>
      <c r="Q41" s="218"/>
      <c r="R41" s="218"/>
    </row>
  </sheetData>
  <mergeCells count="27">
    <mergeCell ref="C23:H23"/>
    <mergeCell ref="J23:N23"/>
    <mergeCell ref="A1:R1"/>
    <mergeCell ref="A4:R4"/>
    <mergeCell ref="A6:R6"/>
    <mergeCell ref="A8:K8"/>
    <mergeCell ref="N8:Q8"/>
    <mergeCell ref="B10:N10"/>
    <mergeCell ref="C13:H13"/>
    <mergeCell ref="J13:N13"/>
    <mergeCell ref="C15:H15"/>
    <mergeCell ref="J15:N15"/>
    <mergeCell ref="C17:H17"/>
    <mergeCell ref="A41:L41"/>
    <mergeCell ref="P41:R41"/>
    <mergeCell ref="C25:H25"/>
    <mergeCell ref="J25:N25"/>
    <mergeCell ref="C27:H27"/>
    <mergeCell ref="B29:G29"/>
    <mergeCell ref="B31:G31"/>
    <mergeCell ref="B34:D34"/>
    <mergeCell ref="F34:J34"/>
    <mergeCell ref="B36:D36"/>
    <mergeCell ref="F36:J36"/>
    <mergeCell ref="M36:Q36"/>
    <mergeCell ref="A40:L40"/>
    <mergeCell ref="M40:U40"/>
  </mergeCells>
  <phoneticPr fontId="47" type="noConversion"/>
  <pageMargins left="1.2" right="0.8" top="1" bottom="0.5" header="0" footer="0"/>
  <pageSetup paperSize="0" fitToWidth="0" fitToHeight="0" orientation="portrait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selection activeCell="A10" sqref="A10"/>
    </sheetView>
  </sheetViews>
  <sheetFormatPr defaultColWidth="8.7109375" defaultRowHeight="27.75" customHeight="1" x14ac:dyDescent="0.25"/>
  <cols>
    <col min="1" max="1" width="52.42578125" style="54" customWidth="1"/>
    <col min="2" max="2" width="31.85546875" style="54" customWidth="1"/>
    <col min="3" max="3" width="31.85546875" style="54" hidden="1" customWidth="1"/>
    <col min="4" max="4" width="36.85546875" style="54" customWidth="1"/>
    <col min="5" max="9" width="8.7109375" style="54"/>
    <col min="10" max="10" width="12.42578125" style="54" bestFit="1" customWidth="1"/>
    <col min="11" max="16384" width="8.7109375" style="54"/>
  </cols>
  <sheetData>
    <row r="1" spans="1:5" ht="15.6" customHeight="1" x14ac:dyDescent="0.35">
      <c r="A1" s="225" t="s">
        <v>128</v>
      </c>
      <c r="B1" s="225"/>
      <c r="C1" s="225"/>
      <c r="D1" s="225"/>
    </row>
    <row r="2" spans="1:5" ht="15.75" x14ac:dyDescent="0.25">
      <c r="A2" s="226" t="s">
        <v>127</v>
      </c>
      <c r="B2" s="227"/>
      <c r="C2" s="227"/>
      <c r="D2" s="227"/>
    </row>
    <row r="3" spans="1:5" ht="15.6" customHeight="1" x14ac:dyDescent="0.25">
      <c r="A3" s="226" t="s">
        <v>222</v>
      </c>
      <c r="B3" s="227"/>
      <c r="C3" s="227"/>
      <c r="D3" s="227"/>
    </row>
    <row r="4" spans="1:5" ht="46.5" customHeight="1" x14ac:dyDescent="0.25">
      <c r="A4" s="55" t="s">
        <v>118</v>
      </c>
      <c r="B4" s="53" t="s">
        <v>223</v>
      </c>
      <c r="C4" s="53" t="s">
        <v>192</v>
      </c>
      <c r="D4" s="53" t="s">
        <v>224</v>
      </c>
    </row>
    <row r="5" spans="1:5" ht="27.75" customHeight="1" x14ac:dyDescent="0.25">
      <c r="A5" s="1" t="s">
        <v>37</v>
      </c>
      <c r="B5" s="88">
        <v>1913607.9892936167</v>
      </c>
      <c r="C5" s="56">
        <v>0</v>
      </c>
      <c r="D5" s="2">
        <f>9302636.55026727+B5+C5</f>
        <v>11216244.539560886</v>
      </c>
    </row>
    <row r="6" spans="1:5" ht="31.5" x14ac:dyDescent="0.25">
      <c r="A6" s="52" t="s">
        <v>38</v>
      </c>
      <c r="B6" s="88">
        <v>496001.97636583215</v>
      </c>
      <c r="C6" s="35">
        <v>0</v>
      </c>
      <c r="D6" s="2">
        <f>9302636.55026727+B6+C6</f>
        <v>9798638.5266331024</v>
      </c>
    </row>
    <row r="7" spans="1:5" ht="27.75" customHeight="1" x14ac:dyDescent="0.25">
      <c r="A7" s="3" t="s">
        <v>39</v>
      </c>
      <c r="B7" s="4">
        <f>SUM(B5:B6)</f>
        <v>2409609.9656594489</v>
      </c>
      <c r="C7" s="4">
        <f>C5+C6</f>
        <v>0</v>
      </c>
      <c r="D7" s="5">
        <f>SUM(D5:D6)</f>
        <v>21014883.06619399</v>
      </c>
    </row>
    <row r="9" spans="1:5" ht="27.75" customHeight="1" x14ac:dyDescent="0.25">
      <c r="B9" s="86"/>
      <c r="E9" s="56"/>
    </row>
    <row r="10" spans="1:5" ht="27.75" customHeight="1" x14ac:dyDescent="0.25">
      <c r="B10" s="86"/>
      <c r="E10" s="56"/>
    </row>
    <row r="11" spans="1:5" ht="27.75" customHeight="1" x14ac:dyDescent="0.25">
      <c r="D11" s="87"/>
    </row>
    <row r="12" spans="1:5" ht="27.75" customHeight="1" x14ac:dyDescent="0.25">
      <c r="D12" s="87"/>
    </row>
  </sheetData>
  <mergeCells count="3">
    <mergeCell ref="A1:D1"/>
    <mergeCell ref="A3:D3"/>
    <mergeCell ref="A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Q197"/>
  <sheetViews>
    <sheetView topLeftCell="A19" workbookViewId="0">
      <selection activeCell="E24" sqref="E24"/>
    </sheetView>
  </sheetViews>
  <sheetFormatPr defaultRowHeight="15" x14ac:dyDescent="0.25"/>
  <cols>
    <col min="1" max="1" width="5.28515625" style="6" customWidth="1"/>
    <col min="2" max="2" width="16.28515625" style="6" customWidth="1"/>
    <col min="3" max="3" width="10.42578125" style="21" customWidth="1"/>
    <col min="4" max="4" width="7.42578125" style="6" bestFit="1" customWidth="1"/>
    <col min="5" max="5" width="26.85546875" style="6" bestFit="1" customWidth="1"/>
    <col min="6" max="6" width="15.140625" style="21" bestFit="1" customWidth="1"/>
    <col min="7" max="7" width="15.5703125" bestFit="1" customWidth="1"/>
    <col min="8" max="8" width="10.140625" bestFit="1" customWidth="1"/>
    <col min="10" max="10" width="24.42578125" bestFit="1" customWidth="1"/>
    <col min="11" max="11" width="12.5703125" bestFit="1" customWidth="1"/>
  </cols>
  <sheetData>
    <row r="1" spans="1:9" ht="15.6" customHeight="1" x14ac:dyDescent="0.25">
      <c r="A1" s="228" t="s">
        <v>77</v>
      </c>
      <c r="B1" s="229"/>
      <c r="C1" s="229"/>
      <c r="D1" s="229"/>
      <c r="E1" s="229"/>
      <c r="F1" s="230"/>
    </row>
    <row r="2" spans="1:9" ht="15.6" customHeight="1" x14ac:dyDescent="0.25">
      <c r="A2" s="228" t="s">
        <v>78</v>
      </c>
      <c r="B2" s="229"/>
      <c r="C2" s="229"/>
      <c r="D2" s="229"/>
      <c r="E2" s="229"/>
      <c r="F2" s="230"/>
    </row>
    <row r="3" spans="1:9" ht="15.6" customHeight="1" x14ac:dyDescent="0.25">
      <c r="A3" s="228" t="s">
        <v>84</v>
      </c>
      <c r="B3" s="229"/>
      <c r="C3" s="229"/>
      <c r="D3" s="229"/>
      <c r="E3" s="229"/>
      <c r="F3" s="230"/>
    </row>
    <row r="4" spans="1:9" ht="15.6" customHeight="1" x14ac:dyDescent="0.25">
      <c r="A4" s="231" t="s">
        <v>79</v>
      </c>
      <c r="B4" s="232"/>
      <c r="C4" s="232"/>
      <c r="D4" s="232"/>
      <c r="E4" s="232"/>
      <c r="F4" s="233"/>
    </row>
    <row r="5" spans="1:9" ht="15.75" x14ac:dyDescent="0.25">
      <c r="A5" s="234" t="s">
        <v>80</v>
      </c>
      <c r="B5" s="234"/>
      <c r="C5" s="22" t="s">
        <v>89</v>
      </c>
      <c r="D5" s="23"/>
      <c r="E5" s="24"/>
      <c r="F5" s="25"/>
    </row>
    <row r="6" spans="1:9" ht="15.75" x14ac:dyDescent="0.25">
      <c r="A6" s="234" t="s">
        <v>81</v>
      </c>
      <c r="B6" s="234"/>
      <c r="C6" s="235" t="s">
        <v>95</v>
      </c>
      <c r="D6" s="236"/>
      <c r="E6" s="237"/>
      <c r="F6" s="19" t="s">
        <v>101</v>
      </c>
      <c r="G6" s="19" t="s">
        <v>74</v>
      </c>
    </row>
    <row r="7" spans="1:9" ht="15.75" x14ac:dyDescent="0.25">
      <c r="A7" s="34"/>
      <c r="B7" s="228"/>
      <c r="C7" s="229"/>
      <c r="D7" s="229"/>
      <c r="E7" s="230"/>
      <c r="F7" s="19"/>
    </row>
    <row r="8" spans="1:9" ht="15.75" x14ac:dyDescent="0.25">
      <c r="A8" s="8"/>
      <c r="B8" s="245" t="s">
        <v>90</v>
      </c>
      <c r="C8" s="245"/>
      <c r="D8" s="245"/>
      <c r="E8" s="245"/>
      <c r="F8" s="41">
        <v>35113008.299999997</v>
      </c>
      <c r="G8" s="7">
        <f t="shared" ref="G8:G13" si="0">F8/2310</f>
        <v>15200.436493506491</v>
      </c>
      <c r="I8" s="18"/>
    </row>
    <row r="9" spans="1:9" ht="15.75" x14ac:dyDescent="0.25">
      <c r="A9" s="8"/>
      <c r="B9" s="238"/>
      <c r="C9" s="238"/>
      <c r="D9" s="238"/>
      <c r="E9" s="238"/>
      <c r="F9" s="9"/>
      <c r="G9" s="7">
        <f t="shared" si="0"/>
        <v>0</v>
      </c>
    </row>
    <row r="10" spans="1:9" ht="15.75" x14ac:dyDescent="0.25">
      <c r="A10" s="8" t="s">
        <v>94</v>
      </c>
      <c r="B10" s="245" t="s">
        <v>91</v>
      </c>
      <c r="C10" s="245"/>
      <c r="D10" s="245"/>
      <c r="E10" s="245"/>
      <c r="F10" s="9">
        <f>F34</f>
        <v>9045595.0499999989</v>
      </c>
      <c r="G10" s="7">
        <f t="shared" si="0"/>
        <v>3915.8420129870124</v>
      </c>
      <c r="H10" s="7"/>
    </row>
    <row r="11" spans="1:9" ht="15.75" x14ac:dyDescent="0.25">
      <c r="A11" s="8"/>
      <c r="B11" s="238"/>
      <c r="C11" s="238"/>
      <c r="D11" s="238"/>
      <c r="E11" s="238"/>
      <c r="F11" s="9"/>
      <c r="G11" s="7">
        <f t="shared" si="0"/>
        <v>0</v>
      </c>
    </row>
    <row r="12" spans="1:9" ht="15.75" x14ac:dyDescent="0.25">
      <c r="A12" s="8" t="s">
        <v>98</v>
      </c>
      <c r="B12" s="245" t="s">
        <v>92</v>
      </c>
      <c r="C12" s="245"/>
      <c r="D12" s="245"/>
      <c r="E12" s="245"/>
      <c r="F12" s="9">
        <v>164200</v>
      </c>
      <c r="G12" s="7">
        <f t="shared" si="0"/>
        <v>71.082251082251076</v>
      </c>
    </row>
    <row r="13" spans="1:9" ht="15.75" x14ac:dyDescent="0.25">
      <c r="A13" s="8"/>
      <c r="B13" s="238"/>
      <c r="C13" s="238"/>
      <c r="D13" s="238"/>
      <c r="E13" s="238"/>
      <c r="F13" s="9"/>
      <c r="G13" s="7">
        <f t="shared" si="0"/>
        <v>0</v>
      </c>
    </row>
    <row r="14" spans="1:9" ht="15.75" x14ac:dyDescent="0.25">
      <c r="A14" s="8"/>
      <c r="B14" s="246" t="s">
        <v>93</v>
      </c>
      <c r="C14" s="247"/>
      <c r="D14" s="247"/>
      <c r="E14" s="248"/>
      <c r="F14" s="9">
        <f>F8-F10+F12</f>
        <v>26231613.25</v>
      </c>
      <c r="G14" s="7">
        <f>G8-G10+G12</f>
        <v>11355.67673160173</v>
      </c>
    </row>
    <row r="15" spans="1:9" ht="15.75" x14ac:dyDescent="0.25">
      <c r="A15" s="8"/>
      <c r="B15" s="249"/>
      <c r="C15" s="250"/>
      <c r="D15" s="250"/>
      <c r="E15" s="251"/>
      <c r="F15" s="9"/>
      <c r="G15" s="7"/>
    </row>
    <row r="16" spans="1:9" ht="15.75" x14ac:dyDescent="0.25">
      <c r="A16" s="8"/>
      <c r="B16" s="242" t="s">
        <v>96</v>
      </c>
      <c r="C16" s="243"/>
      <c r="D16" s="243"/>
      <c r="E16" s="243"/>
      <c r="F16" s="244"/>
    </row>
    <row r="17" spans="1:69" ht="15.75" x14ac:dyDescent="0.25">
      <c r="A17" s="8"/>
      <c r="B17" s="14" t="s">
        <v>0</v>
      </c>
      <c r="C17" s="14" t="s">
        <v>85</v>
      </c>
      <c r="D17" s="14" t="s">
        <v>86</v>
      </c>
      <c r="E17" s="14" t="s">
        <v>87</v>
      </c>
      <c r="F17" s="20" t="s">
        <v>83</v>
      </c>
    </row>
    <row r="18" spans="1:69" s="13" customFormat="1" ht="15.75" x14ac:dyDescent="0.25">
      <c r="A18" s="15"/>
      <c r="B18" s="15">
        <v>43658</v>
      </c>
      <c r="C18" s="16">
        <v>71</v>
      </c>
      <c r="D18" s="15"/>
      <c r="E18" s="15" t="s">
        <v>46</v>
      </c>
      <c r="F18" s="42">
        <v>1300000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</row>
    <row r="19" spans="1:69" s="13" customFormat="1" ht="15.75" x14ac:dyDescent="0.25">
      <c r="A19" s="15"/>
      <c r="B19" s="15">
        <v>43672</v>
      </c>
      <c r="C19" s="16">
        <v>79</v>
      </c>
      <c r="D19" s="15"/>
      <c r="E19" s="15" t="s">
        <v>49</v>
      </c>
      <c r="F19" s="42">
        <v>100000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</row>
    <row r="20" spans="1:69" ht="15.75" x14ac:dyDescent="0.25">
      <c r="A20" s="8"/>
      <c r="B20" s="15">
        <v>43691</v>
      </c>
      <c r="C20" s="16">
        <v>83</v>
      </c>
      <c r="D20" s="16"/>
      <c r="E20" s="16" t="s">
        <v>49</v>
      </c>
      <c r="F20" s="42">
        <v>560000</v>
      </c>
    </row>
    <row r="21" spans="1:69" ht="15.75" x14ac:dyDescent="0.25">
      <c r="A21" s="8"/>
      <c r="B21" s="15">
        <v>43703</v>
      </c>
      <c r="C21" s="16">
        <v>91</v>
      </c>
      <c r="D21" s="16"/>
      <c r="E21" s="16" t="s">
        <v>50</v>
      </c>
      <c r="F21" s="42">
        <v>730000</v>
      </c>
    </row>
    <row r="22" spans="1:69" ht="15.75" x14ac:dyDescent="0.25">
      <c r="A22" s="8"/>
      <c r="B22" s="15">
        <v>43706</v>
      </c>
      <c r="C22" s="16">
        <v>101</v>
      </c>
      <c r="D22" s="16"/>
      <c r="E22" s="16" t="s">
        <v>50</v>
      </c>
      <c r="F22" s="42">
        <v>360000</v>
      </c>
    </row>
    <row r="23" spans="1:69" ht="15.75" x14ac:dyDescent="0.25">
      <c r="A23" s="8"/>
      <c r="B23" s="15">
        <v>43780</v>
      </c>
      <c r="C23" s="16">
        <v>172</v>
      </c>
      <c r="D23" s="16" t="s">
        <v>73</v>
      </c>
      <c r="E23" s="16" t="s">
        <v>43</v>
      </c>
      <c r="F23" s="42">
        <v>72400</v>
      </c>
    </row>
    <row r="24" spans="1:69" ht="15.75" x14ac:dyDescent="0.25">
      <c r="A24" s="8"/>
      <c r="B24" s="15">
        <v>43802</v>
      </c>
      <c r="C24" s="16">
        <v>174</v>
      </c>
      <c r="D24" s="16" t="s">
        <v>66</v>
      </c>
      <c r="E24" s="16" t="s">
        <v>65</v>
      </c>
      <c r="F24" s="17">
        <v>422180</v>
      </c>
    </row>
    <row r="25" spans="1:69" ht="15.75" x14ac:dyDescent="0.25">
      <c r="A25" s="8"/>
      <c r="B25" s="15">
        <v>43785</v>
      </c>
      <c r="C25" s="16">
        <v>179</v>
      </c>
      <c r="D25" s="16" t="s">
        <v>72</v>
      </c>
      <c r="E25" s="16" t="s">
        <v>71</v>
      </c>
      <c r="F25" s="17">
        <v>1058400</v>
      </c>
    </row>
    <row r="26" spans="1:69" ht="15.75" x14ac:dyDescent="0.25">
      <c r="A26" s="8"/>
      <c r="B26" s="15">
        <v>43802</v>
      </c>
      <c r="C26" s="16">
        <v>135</v>
      </c>
      <c r="D26" s="16" t="s">
        <v>70</v>
      </c>
      <c r="E26" s="16" t="s">
        <v>48</v>
      </c>
      <c r="F26" s="17">
        <v>485200</v>
      </c>
    </row>
    <row r="27" spans="1:69" ht="15.75" x14ac:dyDescent="0.25">
      <c r="A27" s="8"/>
      <c r="B27" s="15">
        <v>43728</v>
      </c>
      <c r="C27" s="16">
        <v>139</v>
      </c>
      <c r="D27" s="16"/>
      <c r="E27" s="16" t="s">
        <v>71</v>
      </c>
      <c r="F27" s="17">
        <v>3577500</v>
      </c>
    </row>
    <row r="28" spans="1:69" ht="15.75" x14ac:dyDescent="0.25">
      <c r="A28" s="8"/>
      <c r="B28" s="15">
        <v>43733</v>
      </c>
      <c r="C28" s="16">
        <v>149</v>
      </c>
      <c r="D28" s="16"/>
      <c r="E28" s="16" t="s">
        <v>43</v>
      </c>
      <c r="F28" s="17">
        <v>281941.2</v>
      </c>
    </row>
    <row r="29" spans="1:69" ht="15.75" x14ac:dyDescent="0.25">
      <c r="A29" s="8"/>
      <c r="B29" s="15">
        <v>43748</v>
      </c>
      <c r="C29" s="16">
        <v>158</v>
      </c>
      <c r="D29" s="16"/>
      <c r="E29" s="16" t="s">
        <v>43</v>
      </c>
      <c r="F29" s="17">
        <v>31372.880000000001</v>
      </c>
    </row>
    <row r="30" spans="1:69" ht="15.75" x14ac:dyDescent="0.25">
      <c r="A30" s="8"/>
      <c r="B30" s="15">
        <v>43748</v>
      </c>
      <c r="C30" s="16">
        <v>155</v>
      </c>
      <c r="D30" s="16"/>
      <c r="E30" s="16" t="s">
        <v>43</v>
      </c>
      <c r="F30" s="17">
        <v>5932.2</v>
      </c>
    </row>
    <row r="31" spans="1:69" ht="15.75" x14ac:dyDescent="0.25">
      <c r="A31" s="8"/>
      <c r="B31" s="15">
        <v>43754</v>
      </c>
      <c r="C31" s="16">
        <v>165</v>
      </c>
      <c r="D31" s="16"/>
      <c r="E31" s="16" t="s">
        <v>43</v>
      </c>
      <c r="F31" s="17">
        <v>31292.5</v>
      </c>
    </row>
    <row r="32" spans="1:69" ht="15.75" x14ac:dyDescent="0.25">
      <c r="A32" s="8"/>
      <c r="B32" s="15">
        <v>43749</v>
      </c>
      <c r="C32" s="16">
        <v>162</v>
      </c>
      <c r="D32" s="16" t="s">
        <v>63</v>
      </c>
      <c r="E32" s="16" t="s">
        <v>43</v>
      </c>
      <c r="F32" s="17">
        <v>4237.29</v>
      </c>
    </row>
    <row r="33" spans="1:6" ht="15.75" x14ac:dyDescent="0.25">
      <c r="A33" s="8"/>
      <c r="B33" s="15">
        <v>43756</v>
      </c>
      <c r="C33" s="16">
        <v>167</v>
      </c>
      <c r="D33" s="16" t="s">
        <v>64</v>
      </c>
      <c r="E33" s="16" t="s">
        <v>43</v>
      </c>
      <c r="F33" s="17">
        <v>25138.98</v>
      </c>
    </row>
    <row r="34" spans="1:6" ht="15.75" x14ac:dyDescent="0.25">
      <c r="A34" s="8"/>
      <c r="B34" s="239" t="s">
        <v>6</v>
      </c>
      <c r="C34" s="240"/>
      <c r="D34" s="241"/>
      <c r="E34" s="10"/>
      <c r="F34" s="43">
        <f>SUM(F18:F33)</f>
        <v>9045595.0499999989</v>
      </c>
    </row>
    <row r="35" spans="1:6" ht="15.75" x14ac:dyDescent="0.25">
      <c r="A35" s="44"/>
      <c r="B35" s="44"/>
      <c r="C35" s="45"/>
      <c r="D35" s="44"/>
      <c r="E35" s="44"/>
      <c r="F35" s="45"/>
    </row>
    <row r="36" spans="1:6" ht="15.75" x14ac:dyDescent="0.25">
      <c r="A36" s="36"/>
      <c r="B36" s="44"/>
      <c r="C36" s="45"/>
      <c r="D36" s="44"/>
      <c r="E36" s="44"/>
      <c r="F36" s="45"/>
    </row>
    <row r="37" spans="1:6" ht="15.75" x14ac:dyDescent="0.25">
      <c r="A37" s="45"/>
      <c r="B37" s="37" t="s">
        <v>103</v>
      </c>
      <c r="C37" s="38"/>
      <c r="D37" s="45"/>
      <c r="E37" s="36" t="s">
        <v>111</v>
      </c>
      <c r="F37" s="44"/>
    </row>
    <row r="38" spans="1:6" ht="15.75" x14ac:dyDescent="0.25">
      <c r="A38" s="36"/>
      <c r="B38" s="39" t="s">
        <v>104</v>
      </c>
      <c r="C38" s="12"/>
      <c r="D38" s="45"/>
      <c r="E38" s="12" t="s">
        <v>112</v>
      </c>
      <c r="F38" s="44"/>
    </row>
    <row r="39" spans="1:6" ht="15.75" x14ac:dyDescent="0.25">
      <c r="A39" s="45"/>
      <c r="B39" s="39" t="s">
        <v>105</v>
      </c>
      <c r="C39" s="40"/>
      <c r="D39" s="44"/>
      <c r="E39" s="44" t="s">
        <v>113</v>
      </c>
      <c r="F39" s="44"/>
    </row>
    <row r="40" spans="1:6" ht="15.75" x14ac:dyDescent="0.25">
      <c r="A40" s="36"/>
      <c r="B40" s="37" t="s">
        <v>106</v>
      </c>
      <c r="C40" s="36"/>
      <c r="D40" s="44"/>
      <c r="E40" s="37" t="s">
        <v>114</v>
      </c>
      <c r="F40" s="44"/>
    </row>
    <row r="41" spans="1:6" ht="15.75" x14ac:dyDescent="0.25">
      <c r="A41" s="44"/>
      <c r="B41" s="44"/>
      <c r="C41" s="45"/>
      <c r="D41" s="44"/>
      <c r="E41" s="44"/>
      <c r="F41" s="45"/>
    </row>
    <row r="42" spans="1:6" ht="15.75" x14ac:dyDescent="0.25">
      <c r="A42" s="44"/>
      <c r="B42" s="44"/>
      <c r="C42" s="45"/>
      <c r="D42" s="44"/>
      <c r="E42" s="44"/>
      <c r="F42" s="45"/>
    </row>
    <row r="43" spans="1:6" ht="15.75" x14ac:dyDescent="0.25">
      <c r="A43" s="44" t="s">
        <v>100</v>
      </c>
      <c r="B43" s="45"/>
      <c r="C43" s="44"/>
      <c r="D43" s="44"/>
      <c r="E43" s="44"/>
      <c r="F43" s="45"/>
    </row>
    <row r="44" spans="1:6" ht="15.75" x14ac:dyDescent="0.25">
      <c r="A44" s="44"/>
      <c r="B44" s="44"/>
      <c r="C44" s="45"/>
      <c r="D44" s="44"/>
      <c r="E44" s="44"/>
      <c r="F44" s="45"/>
    </row>
    <row r="45" spans="1:6" ht="15.75" x14ac:dyDescent="0.25">
      <c r="A45" s="44"/>
      <c r="B45" s="44"/>
      <c r="C45" s="45"/>
      <c r="D45" s="44"/>
      <c r="E45" s="44"/>
      <c r="F45" s="45"/>
    </row>
    <row r="46" spans="1:6" ht="15.75" x14ac:dyDescent="0.25">
      <c r="A46" s="44"/>
      <c r="B46" s="44"/>
      <c r="C46" s="45"/>
      <c r="D46" s="44"/>
      <c r="E46" s="44"/>
      <c r="F46" s="45"/>
    </row>
    <row r="47" spans="1:6" ht="15.75" x14ac:dyDescent="0.25">
      <c r="A47" s="44"/>
      <c r="B47" s="44"/>
      <c r="C47" s="45"/>
      <c r="D47" s="44"/>
      <c r="E47" s="44"/>
      <c r="F47" s="45"/>
    </row>
    <row r="48" spans="1:6" ht="15.75" x14ac:dyDescent="0.25">
      <c r="A48" s="44"/>
      <c r="B48" s="44"/>
      <c r="C48" s="45"/>
      <c r="D48" s="44"/>
      <c r="E48" s="44"/>
      <c r="F48" s="45"/>
    </row>
    <row r="49" spans="1:6" ht="15.75" x14ac:dyDescent="0.25">
      <c r="A49" s="44"/>
      <c r="B49" s="44"/>
      <c r="C49" s="45"/>
      <c r="D49" s="44"/>
      <c r="E49" s="44"/>
      <c r="F49" s="45"/>
    </row>
    <row r="50" spans="1:6" ht="15.75" x14ac:dyDescent="0.25">
      <c r="A50" s="44"/>
      <c r="B50" s="44"/>
      <c r="C50" s="45"/>
      <c r="D50" s="44"/>
      <c r="E50" s="44"/>
      <c r="F50" s="45"/>
    </row>
    <row r="51" spans="1:6" ht="15.75" x14ac:dyDescent="0.25">
      <c r="A51" s="44"/>
      <c r="B51" s="44"/>
      <c r="C51" s="45"/>
      <c r="D51" s="44"/>
      <c r="E51" s="44"/>
      <c r="F51" s="45"/>
    </row>
    <row r="52" spans="1:6" ht="15.75" x14ac:dyDescent="0.25">
      <c r="A52" s="44"/>
      <c r="B52" s="44"/>
      <c r="C52" s="45"/>
      <c r="D52" s="44"/>
      <c r="E52" s="44"/>
      <c r="F52" s="45"/>
    </row>
    <row r="53" spans="1:6" ht="15.75" x14ac:dyDescent="0.25">
      <c r="A53" s="44"/>
      <c r="B53" s="44"/>
      <c r="C53" s="45"/>
      <c r="D53" s="44"/>
      <c r="E53" s="44"/>
      <c r="F53" s="45"/>
    </row>
    <row r="54" spans="1:6" ht="15.75" x14ac:dyDescent="0.25">
      <c r="A54" s="44"/>
      <c r="B54" s="44"/>
      <c r="C54" s="45"/>
      <c r="D54" s="44"/>
      <c r="E54" s="44"/>
      <c r="F54" s="45"/>
    </row>
    <row r="55" spans="1:6" ht="15.75" x14ac:dyDescent="0.25">
      <c r="A55" s="44"/>
      <c r="B55" s="44"/>
      <c r="C55" s="45"/>
      <c r="D55" s="44"/>
      <c r="E55" s="44"/>
      <c r="F55" s="45"/>
    </row>
    <row r="56" spans="1:6" ht="15.75" x14ac:dyDescent="0.25">
      <c r="A56" s="44"/>
      <c r="B56" s="44"/>
      <c r="C56" s="45"/>
      <c r="D56" s="44"/>
      <c r="E56" s="44"/>
      <c r="F56" s="45"/>
    </row>
    <row r="57" spans="1:6" ht="15.75" x14ac:dyDescent="0.25">
      <c r="A57" s="44"/>
      <c r="B57" s="44"/>
      <c r="C57" s="45"/>
      <c r="D57" s="44"/>
      <c r="E57" s="44"/>
      <c r="F57" s="45"/>
    </row>
    <row r="58" spans="1:6" ht="15.75" x14ac:dyDescent="0.25">
      <c r="A58" s="44"/>
      <c r="B58" s="44"/>
      <c r="C58" s="45"/>
      <c r="D58" s="44"/>
      <c r="E58" s="44"/>
      <c r="F58" s="45"/>
    </row>
    <row r="59" spans="1:6" ht="15.75" x14ac:dyDescent="0.25">
      <c r="A59" s="44"/>
      <c r="B59" s="44"/>
      <c r="C59" s="45"/>
      <c r="D59" s="44"/>
      <c r="E59" s="44"/>
      <c r="F59" s="45"/>
    </row>
    <row r="60" spans="1:6" ht="15.75" x14ac:dyDescent="0.25">
      <c r="A60" s="44"/>
      <c r="B60" s="44"/>
      <c r="C60" s="45"/>
      <c r="D60" s="44"/>
      <c r="E60" s="44"/>
      <c r="F60" s="45"/>
    </row>
    <row r="61" spans="1:6" ht="15.75" x14ac:dyDescent="0.25">
      <c r="A61" s="44"/>
      <c r="B61" s="44"/>
      <c r="C61" s="45"/>
      <c r="D61" s="44"/>
      <c r="E61" s="44"/>
      <c r="F61" s="45"/>
    </row>
    <row r="62" spans="1:6" ht="15.75" x14ac:dyDescent="0.25">
      <c r="A62" s="44"/>
      <c r="B62" s="44"/>
      <c r="C62" s="45"/>
      <c r="D62" s="44"/>
      <c r="E62" s="44"/>
      <c r="F62" s="45"/>
    </row>
    <row r="63" spans="1:6" ht="15.75" x14ac:dyDescent="0.25">
      <c r="A63" s="44"/>
      <c r="B63" s="44"/>
      <c r="C63" s="45"/>
      <c r="D63" s="44"/>
      <c r="E63" s="44"/>
      <c r="F63" s="45"/>
    </row>
    <row r="64" spans="1:6" ht="15.75" x14ac:dyDescent="0.25">
      <c r="A64" s="44"/>
      <c r="B64" s="44"/>
      <c r="C64" s="45"/>
      <c r="D64" s="44"/>
      <c r="E64" s="44"/>
      <c r="F64" s="45"/>
    </row>
    <row r="65" spans="1:6" ht="15.75" x14ac:dyDescent="0.25">
      <c r="A65" s="44"/>
      <c r="B65" s="44"/>
      <c r="C65" s="45"/>
      <c r="D65" s="44"/>
      <c r="E65" s="44"/>
      <c r="F65" s="45"/>
    </row>
    <row r="66" spans="1:6" ht="15.75" x14ac:dyDescent="0.25">
      <c r="A66" s="44"/>
      <c r="B66" s="44"/>
      <c r="C66" s="45"/>
      <c r="D66" s="44"/>
      <c r="E66" s="44"/>
      <c r="F66" s="45"/>
    </row>
    <row r="67" spans="1:6" ht="15.75" x14ac:dyDescent="0.25">
      <c r="A67" s="44"/>
      <c r="B67" s="44"/>
      <c r="C67" s="45"/>
      <c r="D67" s="44"/>
      <c r="E67" s="44"/>
      <c r="F67" s="45"/>
    </row>
    <row r="68" spans="1:6" ht="15.75" x14ac:dyDescent="0.25">
      <c r="A68" s="44"/>
      <c r="B68" s="44"/>
      <c r="C68" s="45"/>
      <c r="D68" s="44"/>
      <c r="E68" s="44"/>
      <c r="F68" s="45"/>
    </row>
    <row r="69" spans="1:6" ht="15.75" x14ac:dyDescent="0.25">
      <c r="A69" s="44"/>
      <c r="B69" s="44"/>
      <c r="C69" s="45"/>
      <c r="D69" s="44"/>
      <c r="E69" s="44"/>
      <c r="F69" s="45"/>
    </row>
    <row r="70" spans="1:6" ht="15.75" x14ac:dyDescent="0.25">
      <c r="A70" s="44"/>
      <c r="B70" s="44"/>
      <c r="C70" s="45"/>
      <c r="D70" s="44"/>
      <c r="E70" s="44"/>
      <c r="F70" s="45"/>
    </row>
    <row r="71" spans="1:6" ht="15.75" x14ac:dyDescent="0.25">
      <c r="A71" s="44"/>
      <c r="B71" s="44"/>
      <c r="C71" s="45"/>
      <c r="D71" s="44"/>
      <c r="E71" s="44"/>
      <c r="F71" s="45"/>
    </row>
    <row r="72" spans="1:6" ht="15.75" x14ac:dyDescent="0.25">
      <c r="A72" s="44"/>
      <c r="B72" s="44"/>
      <c r="C72" s="45"/>
      <c r="D72" s="44"/>
      <c r="E72" s="44"/>
      <c r="F72" s="45"/>
    </row>
    <row r="73" spans="1:6" ht="15.75" x14ac:dyDescent="0.25">
      <c r="A73" s="44"/>
      <c r="B73" s="44"/>
      <c r="C73" s="45"/>
      <c r="D73" s="44"/>
      <c r="E73" s="44"/>
      <c r="F73" s="45"/>
    </row>
    <row r="74" spans="1:6" ht="15.75" x14ac:dyDescent="0.25">
      <c r="A74" s="44"/>
      <c r="B74" s="44"/>
      <c r="C74" s="45"/>
      <c r="D74" s="44"/>
      <c r="E74" s="44"/>
      <c r="F74" s="45"/>
    </row>
    <row r="75" spans="1:6" ht="15.75" x14ac:dyDescent="0.25">
      <c r="A75" s="44"/>
      <c r="B75" s="44"/>
      <c r="C75" s="45"/>
      <c r="D75" s="44"/>
      <c r="E75" s="44"/>
      <c r="F75" s="45"/>
    </row>
    <row r="76" spans="1:6" ht="15.75" x14ac:dyDescent="0.25">
      <c r="A76" s="44"/>
      <c r="B76" s="44"/>
      <c r="C76" s="45"/>
      <c r="D76" s="44"/>
      <c r="E76" s="44"/>
      <c r="F76" s="45"/>
    </row>
    <row r="77" spans="1:6" ht="15.75" x14ac:dyDescent="0.25">
      <c r="A77" s="44"/>
      <c r="B77" s="44"/>
      <c r="C77" s="45"/>
      <c r="D77" s="44"/>
      <c r="E77" s="44"/>
      <c r="F77" s="45"/>
    </row>
    <row r="78" spans="1:6" ht="15.75" x14ac:dyDescent="0.25">
      <c r="A78" s="44"/>
      <c r="B78" s="44"/>
      <c r="C78" s="45"/>
      <c r="D78" s="44"/>
      <c r="E78" s="44"/>
      <c r="F78" s="45"/>
    </row>
    <row r="79" spans="1:6" ht="15.75" x14ac:dyDescent="0.25">
      <c r="A79" s="44"/>
      <c r="B79" s="44"/>
      <c r="C79" s="45"/>
      <c r="D79" s="44"/>
      <c r="E79" s="44"/>
      <c r="F79" s="45"/>
    </row>
    <row r="80" spans="1:6" ht="15.75" x14ac:dyDescent="0.25">
      <c r="A80" s="44"/>
      <c r="B80" s="44"/>
      <c r="C80" s="45"/>
      <c r="D80" s="44"/>
      <c r="E80" s="44"/>
      <c r="F80" s="45"/>
    </row>
    <row r="81" spans="1:6" ht="15.75" x14ac:dyDescent="0.25">
      <c r="A81" s="44"/>
      <c r="B81" s="44"/>
      <c r="C81" s="45"/>
      <c r="D81" s="44"/>
      <c r="E81" s="44"/>
      <c r="F81" s="45"/>
    </row>
    <row r="82" spans="1:6" ht="15.75" x14ac:dyDescent="0.25">
      <c r="A82" s="44"/>
      <c r="B82" s="44"/>
      <c r="C82" s="45"/>
      <c r="D82" s="44"/>
      <c r="E82" s="44"/>
      <c r="F82" s="45"/>
    </row>
    <row r="83" spans="1:6" ht="15.75" x14ac:dyDescent="0.25">
      <c r="A83" s="44"/>
      <c r="B83" s="44"/>
      <c r="C83" s="45"/>
      <c r="D83" s="44"/>
      <c r="E83" s="44"/>
      <c r="F83" s="45"/>
    </row>
    <row r="84" spans="1:6" ht="15.75" x14ac:dyDescent="0.25">
      <c r="A84" s="44"/>
      <c r="B84" s="44"/>
      <c r="C84" s="45"/>
      <c r="D84" s="44"/>
      <c r="E84" s="44"/>
      <c r="F84" s="45"/>
    </row>
    <row r="85" spans="1:6" ht="15.75" x14ac:dyDescent="0.25">
      <c r="A85" s="44"/>
      <c r="B85" s="44"/>
      <c r="C85" s="45"/>
      <c r="D85" s="44"/>
      <c r="E85" s="44"/>
      <c r="F85" s="45"/>
    </row>
    <row r="86" spans="1:6" ht="15.75" x14ac:dyDescent="0.25">
      <c r="A86" s="44"/>
      <c r="B86" s="44"/>
      <c r="C86" s="45"/>
      <c r="D86" s="44"/>
      <c r="E86" s="44"/>
      <c r="F86" s="45"/>
    </row>
    <row r="87" spans="1:6" ht="15.75" x14ac:dyDescent="0.25">
      <c r="A87" s="44"/>
      <c r="B87" s="44"/>
      <c r="C87" s="45"/>
      <c r="D87" s="44"/>
      <c r="E87" s="44"/>
      <c r="F87" s="45"/>
    </row>
    <row r="88" spans="1:6" ht="15.75" x14ac:dyDescent="0.25">
      <c r="A88" s="44"/>
      <c r="B88" s="44"/>
      <c r="C88" s="45"/>
      <c r="D88" s="44"/>
      <c r="E88" s="44"/>
      <c r="F88" s="45"/>
    </row>
    <row r="89" spans="1:6" ht="15.75" x14ac:dyDescent="0.25">
      <c r="A89" s="44"/>
      <c r="B89" s="44"/>
      <c r="C89" s="45"/>
      <c r="D89" s="44"/>
      <c r="E89" s="44"/>
      <c r="F89" s="45"/>
    </row>
    <row r="90" spans="1:6" ht="15.75" x14ac:dyDescent="0.25">
      <c r="A90" s="44"/>
      <c r="B90" s="44"/>
      <c r="C90" s="45"/>
      <c r="D90" s="44"/>
      <c r="E90" s="44"/>
      <c r="F90" s="45"/>
    </row>
    <row r="91" spans="1:6" ht="15.75" x14ac:dyDescent="0.25">
      <c r="A91" s="44"/>
      <c r="B91" s="44"/>
      <c r="C91" s="45"/>
      <c r="D91" s="44"/>
      <c r="E91" s="44"/>
      <c r="F91" s="45"/>
    </row>
    <row r="92" spans="1:6" x14ac:dyDescent="0.25">
      <c r="A92"/>
      <c r="B92"/>
      <c r="C92" s="26"/>
      <c r="D92"/>
      <c r="E92"/>
      <c r="F92" s="26"/>
    </row>
    <row r="93" spans="1:6" x14ac:dyDescent="0.25">
      <c r="A93"/>
      <c r="B93"/>
      <c r="C93" s="26"/>
      <c r="D93"/>
      <c r="E93"/>
      <c r="F93" s="26"/>
    </row>
    <row r="94" spans="1:6" x14ac:dyDescent="0.25">
      <c r="A94"/>
      <c r="B94"/>
      <c r="C94" s="26"/>
      <c r="D94"/>
      <c r="E94"/>
      <c r="F94" s="26"/>
    </row>
    <row r="95" spans="1:6" x14ac:dyDescent="0.25">
      <c r="A95"/>
      <c r="B95"/>
      <c r="C95" s="26"/>
      <c r="D95"/>
      <c r="E95"/>
      <c r="F95" s="26"/>
    </row>
    <row r="96" spans="1:6" x14ac:dyDescent="0.25">
      <c r="A96"/>
      <c r="B96"/>
      <c r="C96" s="26"/>
      <c r="D96"/>
      <c r="E96"/>
      <c r="F96" s="26"/>
    </row>
    <row r="97" spans="1:6" x14ac:dyDescent="0.25">
      <c r="A97"/>
      <c r="B97"/>
      <c r="C97" s="26"/>
      <c r="D97"/>
      <c r="E97"/>
      <c r="F97" s="26"/>
    </row>
    <row r="98" spans="1:6" x14ac:dyDescent="0.25">
      <c r="A98"/>
      <c r="B98"/>
      <c r="C98" s="26"/>
      <c r="D98"/>
      <c r="E98"/>
      <c r="F98" s="26"/>
    </row>
    <row r="99" spans="1:6" x14ac:dyDescent="0.25">
      <c r="A99"/>
      <c r="B99"/>
      <c r="C99" s="26"/>
      <c r="D99"/>
      <c r="E99"/>
      <c r="F99" s="26"/>
    </row>
    <row r="100" spans="1:6" x14ac:dyDescent="0.25">
      <c r="A100"/>
      <c r="B100"/>
      <c r="C100" s="26"/>
      <c r="D100"/>
      <c r="E100"/>
      <c r="F100" s="26"/>
    </row>
    <row r="101" spans="1:6" x14ac:dyDescent="0.25">
      <c r="A101"/>
      <c r="B101"/>
      <c r="C101" s="26"/>
      <c r="D101"/>
      <c r="E101"/>
      <c r="F101" s="26"/>
    </row>
    <row r="102" spans="1:6" x14ac:dyDescent="0.25">
      <c r="A102"/>
      <c r="B102"/>
      <c r="C102" s="26"/>
      <c r="D102"/>
      <c r="E102"/>
      <c r="F102" s="26"/>
    </row>
    <row r="103" spans="1:6" x14ac:dyDescent="0.25">
      <c r="A103"/>
      <c r="B103"/>
      <c r="C103" s="26"/>
      <c r="D103"/>
      <c r="E103"/>
      <c r="F103" s="26"/>
    </row>
    <row r="104" spans="1:6" x14ac:dyDescent="0.25">
      <c r="A104"/>
      <c r="B104"/>
      <c r="C104" s="26"/>
      <c r="D104"/>
      <c r="E104"/>
      <c r="F104" s="26"/>
    </row>
    <row r="105" spans="1:6" x14ac:dyDescent="0.25">
      <c r="A105"/>
      <c r="B105"/>
      <c r="C105" s="26"/>
      <c r="D105"/>
      <c r="E105"/>
      <c r="F105" s="26"/>
    </row>
    <row r="106" spans="1:6" x14ac:dyDescent="0.25">
      <c r="A106"/>
      <c r="B106"/>
      <c r="C106" s="26"/>
      <c r="D106"/>
      <c r="E106"/>
      <c r="F106" s="26"/>
    </row>
    <row r="107" spans="1:6" x14ac:dyDescent="0.25">
      <c r="A107"/>
      <c r="B107"/>
      <c r="C107" s="26"/>
      <c r="D107"/>
      <c r="E107"/>
      <c r="F107" s="26"/>
    </row>
    <row r="108" spans="1:6" x14ac:dyDescent="0.25">
      <c r="A108"/>
      <c r="B108"/>
      <c r="C108" s="26"/>
      <c r="D108"/>
      <c r="E108"/>
      <c r="F108" s="26"/>
    </row>
    <row r="109" spans="1:6" x14ac:dyDescent="0.25">
      <c r="A109"/>
      <c r="B109"/>
      <c r="C109" s="26"/>
      <c r="D109"/>
      <c r="E109"/>
      <c r="F109" s="26"/>
    </row>
    <row r="110" spans="1:6" x14ac:dyDescent="0.25">
      <c r="A110"/>
      <c r="B110"/>
      <c r="C110" s="26"/>
      <c r="D110"/>
      <c r="E110"/>
      <c r="F110" s="26"/>
    </row>
    <row r="111" spans="1:6" x14ac:dyDescent="0.25">
      <c r="A111"/>
      <c r="B111"/>
      <c r="C111" s="26"/>
      <c r="D111"/>
      <c r="E111"/>
      <c r="F111" s="26"/>
    </row>
    <row r="112" spans="1:6" x14ac:dyDescent="0.25">
      <c r="A112"/>
      <c r="B112"/>
      <c r="C112" s="26"/>
      <c r="D112"/>
      <c r="E112"/>
      <c r="F112" s="26"/>
    </row>
    <row r="113" spans="1:6" x14ac:dyDescent="0.25">
      <c r="A113"/>
      <c r="B113"/>
      <c r="C113" s="26"/>
      <c r="D113"/>
      <c r="E113"/>
      <c r="F113" s="26"/>
    </row>
    <row r="114" spans="1:6" x14ac:dyDescent="0.25">
      <c r="A114"/>
      <c r="B114"/>
      <c r="C114" s="26"/>
      <c r="D114"/>
      <c r="E114"/>
      <c r="F114" s="26"/>
    </row>
    <row r="115" spans="1:6" x14ac:dyDescent="0.25">
      <c r="A115"/>
      <c r="B115"/>
      <c r="C115" s="26"/>
      <c r="D115"/>
      <c r="E115"/>
      <c r="F115" s="26"/>
    </row>
    <row r="116" spans="1:6" x14ac:dyDescent="0.25">
      <c r="A116"/>
      <c r="B116"/>
      <c r="C116" s="26"/>
      <c r="D116"/>
      <c r="E116"/>
      <c r="F116" s="26"/>
    </row>
    <row r="117" spans="1:6" x14ac:dyDescent="0.25">
      <c r="A117"/>
      <c r="B117"/>
      <c r="C117" s="26"/>
      <c r="D117"/>
      <c r="E117"/>
      <c r="F117" s="26"/>
    </row>
    <row r="118" spans="1:6" x14ac:dyDescent="0.25">
      <c r="A118"/>
      <c r="B118"/>
      <c r="C118" s="26"/>
      <c r="D118"/>
      <c r="E118"/>
      <c r="F118" s="26"/>
    </row>
    <row r="119" spans="1:6" x14ac:dyDescent="0.25">
      <c r="A119"/>
      <c r="B119"/>
      <c r="C119" s="26"/>
      <c r="D119"/>
      <c r="E119"/>
      <c r="F119" s="26"/>
    </row>
    <row r="120" spans="1:6" x14ac:dyDescent="0.25">
      <c r="A120"/>
      <c r="B120"/>
      <c r="C120" s="26"/>
      <c r="D120"/>
      <c r="E120"/>
      <c r="F120" s="26"/>
    </row>
    <row r="121" spans="1:6" x14ac:dyDescent="0.25">
      <c r="A121"/>
      <c r="B121"/>
      <c r="C121" s="26"/>
      <c r="D121"/>
      <c r="E121"/>
      <c r="F121" s="26"/>
    </row>
    <row r="122" spans="1:6" x14ac:dyDescent="0.25">
      <c r="A122"/>
      <c r="B122"/>
      <c r="C122" s="26"/>
      <c r="D122"/>
      <c r="E122"/>
      <c r="F122" s="26"/>
    </row>
    <row r="123" spans="1:6" x14ac:dyDescent="0.25">
      <c r="A123"/>
      <c r="B123"/>
      <c r="C123" s="26"/>
      <c r="D123"/>
      <c r="E123"/>
      <c r="F123" s="26"/>
    </row>
    <row r="124" spans="1:6" x14ac:dyDescent="0.25">
      <c r="A124"/>
      <c r="B124"/>
      <c r="C124" s="26"/>
      <c r="D124"/>
      <c r="E124"/>
      <c r="F124" s="26"/>
    </row>
    <row r="125" spans="1:6" x14ac:dyDescent="0.25">
      <c r="A125"/>
      <c r="B125"/>
      <c r="C125" s="26"/>
      <c r="D125"/>
      <c r="E125"/>
      <c r="F125" s="26"/>
    </row>
    <row r="126" spans="1:6" x14ac:dyDescent="0.25">
      <c r="A126"/>
      <c r="B126"/>
      <c r="C126" s="26"/>
      <c r="D126"/>
      <c r="E126"/>
      <c r="F126" s="26"/>
    </row>
    <row r="127" spans="1:6" x14ac:dyDescent="0.25">
      <c r="A127"/>
      <c r="B127"/>
      <c r="C127" s="26"/>
      <c r="D127"/>
      <c r="E127"/>
      <c r="F127" s="26"/>
    </row>
    <row r="128" spans="1:6" x14ac:dyDescent="0.25">
      <c r="A128"/>
      <c r="B128"/>
      <c r="C128" s="26"/>
      <c r="D128"/>
      <c r="E128"/>
      <c r="F128" s="26"/>
    </row>
    <row r="129" spans="1:6" x14ac:dyDescent="0.25">
      <c r="A129"/>
      <c r="B129"/>
      <c r="C129" s="26"/>
      <c r="D129"/>
      <c r="E129"/>
      <c r="F129" s="26"/>
    </row>
    <row r="130" spans="1:6" x14ac:dyDescent="0.25">
      <c r="A130"/>
      <c r="B130"/>
      <c r="C130" s="26"/>
      <c r="D130"/>
      <c r="E130"/>
      <c r="F130" s="26"/>
    </row>
    <row r="131" spans="1:6" x14ac:dyDescent="0.25">
      <c r="A131"/>
      <c r="B131"/>
      <c r="C131" s="26"/>
      <c r="D131"/>
      <c r="E131"/>
      <c r="F131" s="26"/>
    </row>
    <row r="132" spans="1:6" x14ac:dyDescent="0.25">
      <c r="A132"/>
      <c r="B132"/>
      <c r="C132" s="26"/>
      <c r="D132"/>
      <c r="E132"/>
      <c r="F132" s="26"/>
    </row>
    <row r="133" spans="1:6" x14ac:dyDescent="0.25">
      <c r="A133"/>
      <c r="B133"/>
      <c r="C133" s="26"/>
      <c r="D133"/>
      <c r="E133"/>
      <c r="F133" s="26"/>
    </row>
    <row r="134" spans="1:6" x14ac:dyDescent="0.25">
      <c r="A134"/>
      <c r="B134"/>
      <c r="C134" s="26"/>
      <c r="D134"/>
      <c r="E134"/>
      <c r="F134" s="26"/>
    </row>
    <row r="135" spans="1:6" x14ac:dyDescent="0.25">
      <c r="A135"/>
      <c r="B135"/>
      <c r="C135" s="26"/>
      <c r="D135"/>
      <c r="E135"/>
      <c r="F135" s="26"/>
    </row>
    <row r="136" spans="1:6" x14ac:dyDescent="0.25">
      <c r="A136"/>
      <c r="B136"/>
      <c r="C136" s="26"/>
      <c r="D136"/>
      <c r="E136"/>
      <c r="F136" s="26"/>
    </row>
    <row r="137" spans="1:6" x14ac:dyDescent="0.25">
      <c r="A137"/>
      <c r="B137"/>
      <c r="C137" s="26"/>
      <c r="D137"/>
      <c r="E137"/>
      <c r="F137" s="26"/>
    </row>
    <row r="138" spans="1:6" x14ac:dyDescent="0.25">
      <c r="A138"/>
      <c r="B138"/>
      <c r="C138" s="26"/>
      <c r="D138"/>
      <c r="E138"/>
      <c r="F138" s="26"/>
    </row>
    <row r="139" spans="1:6" x14ac:dyDescent="0.25">
      <c r="A139"/>
      <c r="B139"/>
      <c r="C139" s="26"/>
      <c r="D139"/>
      <c r="E139"/>
      <c r="F139" s="26"/>
    </row>
    <row r="140" spans="1:6" x14ac:dyDescent="0.25">
      <c r="A140"/>
      <c r="B140"/>
      <c r="C140" s="26"/>
      <c r="D140"/>
      <c r="E140"/>
      <c r="F140" s="26"/>
    </row>
    <row r="141" spans="1:6" x14ac:dyDescent="0.25">
      <c r="A141"/>
      <c r="B141"/>
      <c r="C141" s="26"/>
      <c r="D141"/>
      <c r="E141"/>
      <c r="F141" s="26"/>
    </row>
    <row r="142" spans="1:6" x14ac:dyDescent="0.25">
      <c r="A142"/>
      <c r="B142"/>
      <c r="C142" s="26"/>
      <c r="D142"/>
      <c r="E142"/>
      <c r="F142" s="26"/>
    </row>
    <row r="143" spans="1:6" x14ac:dyDescent="0.25">
      <c r="A143"/>
      <c r="B143"/>
      <c r="C143" s="26"/>
      <c r="D143"/>
      <c r="E143"/>
      <c r="F143" s="26"/>
    </row>
    <row r="144" spans="1:6" x14ac:dyDescent="0.25">
      <c r="A144"/>
      <c r="B144"/>
      <c r="C144" s="26"/>
      <c r="D144"/>
      <c r="E144"/>
      <c r="F144" s="26"/>
    </row>
    <row r="145" spans="1:6" x14ac:dyDescent="0.25">
      <c r="A145"/>
      <c r="B145"/>
      <c r="C145" s="26"/>
      <c r="D145"/>
      <c r="E145"/>
      <c r="F145" s="26"/>
    </row>
    <row r="146" spans="1:6" x14ac:dyDescent="0.25">
      <c r="A146"/>
      <c r="B146"/>
      <c r="C146" s="26"/>
      <c r="D146"/>
      <c r="E146"/>
      <c r="F146" s="26"/>
    </row>
    <row r="147" spans="1:6" x14ac:dyDescent="0.25">
      <c r="A147"/>
      <c r="B147"/>
      <c r="C147" s="26"/>
      <c r="D147"/>
      <c r="E147"/>
      <c r="F147" s="26"/>
    </row>
    <row r="148" spans="1:6" x14ac:dyDescent="0.25">
      <c r="A148"/>
      <c r="B148"/>
      <c r="C148" s="26"/>
      <c r="D148"/>
      <c r="E148"/>
      <c r="F148" s="26"/>
    </row>
    <row r="149" spans="1:6" x14ac:dyDescent="0.25">
      <c r="A149"/>
      <c r="B149"/>
      <c r="C149" s="26"/>
      <c r="D149"/>
      <c r="E149"/>
      <c r="F149" s="26"/>
    </row>
    <row r="150" spans="1:6" x14ac:dyDescent="0.25">
      <c r="A150"/>
      <c r="B150"/>
      <c r="C150" s="26"/>
      <c r="D150"/>
      <c r="E150"/>
      <c r="F150" s="26"/>
    </row>
    <row r="151" spans="1:6" x14ac:dyDescent="0.25">
      <c r="A151"/>
      <c r="B151"/>
      <c r="C151" s="26"/>
      <c r="D151"/>
      <c r="E151"/>
      <c r="F151" s="26"/>
    </row>
    <row r="152" spans="1:6" x14ac:dyDescent="0.25">
      <c r="A152"/>
      <c r="B152"/>
      <c r="C152" s="26"/>
      <c r="D152"/>
      <c r="E152"/>
      <c r="F152" s="26"/>
    </row>
    <row r="153" spans="1:6" x14ac:dyDescent="0.25">
      <c r="A153"/>
      <c r="B153"/>
      <c r="C153" s="26"/>
      <c r="D153"/>
      <c r="E153"/>
      <c r="F153" s="26"/>
    </row>
    <row r="154" spans="1:6" x14ac:dyDescent="0.25">
      <c r="A154"/>
      <c r="B154"/>
      <c r="C154" s="26"/>
      <c r="D154"/>
      <c r="E154"/>
      <c r="F154" s="26"/>
    </row>
    <row r="155" spans="1:6" x14ac:dyDescent="0.25">
      <c r="A155"/>
      <c r="B155"/>
      <c r="C155" s="26"/>
      <c r="D155"/>
      <c r="E155"/>
      <c r="F155" s="26"/>
    </row>
    <row r="156" spans="1:6" x14ac:dyDescent="0.25">
      <c r="A156"/>
      <c r="B156"/>
      <c r="C156" s="26"/>
      <c r="D156"/>
      <c r="E156"/>
      <c r="F156" s="26"/>
    </row>
    <row r="157" spans="1:6" x14ac:dyDescent="0.25">
      <c r="A157"/>
      <c r="B157"/>
      <c r="C157" s="26"/>
      <c r="D157"/>
      <c r="E157"/>
      <c r="F157" s="26"/>
    </row>
    <row r="158" spans="1:6" x14ac:dyDescent="0.25">
      <c r="A158"/>
      <c r="B158"/>
      <c r="C158" s="26"/>
      <c r="D158"/>
      <c r="E158"/>
      <c r="F158" s="26"/>
    </row>
    <row r="159" spans="1:6" x14ac:dyDescent="0.25">
      <c r="A159"/>
      <c r="B159"/>
      <c r="C159" s="26"/>
      <c r="D159"/>
      <c r="E159"/>
      <c r="F159" s="26"/>
    </row>
    <row r="160" spans="1:6" x14ac:dyDescent="0.25">
      <c r="A160"/>
      <c r="B160"/>
      <c r="C160" s="26"/>
      <c r="D160"/>
      <c r="E160"/>
      <c r="F160" s="26"/>
    </row>
    <row r="161" spans="1:6" x14ac:dyDescent="0.25">
      <c r="A161"/>
      <c r="B161"/>
      <c r="C161" s="26"/>
      <c r="D161"/>
      <c r="E161"/>
      <c r="F161" s="26"/>
    </row>
    <row r="162" spans="1:6" x14ac:dyDescent="0.25">
      <c r="A162"/>
      <c r="B162"/>
      <c r="C162" s="26"/>
      <c r="D162"/>
      <c r="E162"/>
      <c r="F162" s="26"/>
    </row>
    <row r="163" spans="1:6" x14ac:dyDescent="0.25">
      <c r="A163"/>
      <c r="B163"/>
      <c r="C163" s="26"/>
      <c r="D163"/>
      <c r="E163"/>
      <c r="F163" s="26"/>
    </row>
    <row r="164" spans="1:6" x14ac:dyDescent="0.25">
      <c r="A164"/>
      <c r="B164"/>
      <c r="C164" s="26"/>
      <c r="D164"/>
      <c r="E164"/>
      <c r="F164" s="26"/>
    </row>
    <row r="165" spans="1:6" x14ac:dyDescent="0.25">
      <c r="A165"/>
      <c r="B165"/>
      <c r="C165" s="26"/>
      <c r="D165"/>
      <c r="E165"/>
      <c r="F165" s="26"/>
    </row>
    <row r="166" spans="1:6" x14ac:dyDescent="0.25">
      <c r="A166"/>
      <c r="B166"/>
      <c r="C166" s="26"/>
      <c r="D166"/>
      <c r="E166"/>
      <c r="F166" s="26"/>
    </row>
    <row r="167" spans="1:6" x14ac:dyDescent="0.25">
      <c r="A167"/>
      <c r="B167"/>
      <c r="C167" s="26"/>
      <c r="D167"/>
      <c r="E167"/>
      <c r="F167" s="26"/>
    </row>
    <row r="168" spans="1:6" x14ac:dyDescent="0.25">
      <c r="A168"/>
      <c r="B168"/>
      <c r="C168" s="26"/>
      <c r="D168"/>
      <c r="E168"/>
      <c r="F168" s="26"/>
    </row>
    <row r="169" spans="1:6" x14ac:dyDescent="0.25">
      <c r="A169"/>
      <c r="B169"/>
      <c r="C169" s="26"/>
      <c r="D169"/>
      <c r="E169"/>
      <c r="F169" s="26"/>
    </row>
    <row r="170" spans="1:6" x14ac:dyDescent="0.25">
      <c r="A170"/>
      <c r="B170"/>
      <c r="C170" s="26"/>
      <c r="D170"/>
      <c r="E170"/>
      <c r="F170" s="26"/>
    </row>
    <row r="171" spans="1:6" x14ac:dyDescent="0.25">
      <c r="A171"/>
      <c r="B171"/>
      <c r="C171" s="26"/>
      <c r="D171"/>
      <c r="E171"/>
      <c r="F171" s="26"/>
    </row>
    <row r="172" spans="1:6" x14ac:dyDescent="0.25">
      <c r="A172"/>
      <c r="B172"/>
      <c r="C172" s="26"/>
      <c r="D172"/>
      <c r="E172"/>
      <c r="F172" s="26"/>
    </row>
    <row r="173" spans="1:6" x14ac:dyDescent="0.25">
      <c r="A173"/>
      <c r="B173"/>
      <c r="C173" s="26"/>
      <c r="D173"/>
      <c r="E173"/>
      <c r="F173" s="26"/>
    </row>
    <row r="174" spans="1:6" x14ac:dyDescent="0.25">
      <c r="A174"/>
      <c r="B174"/>
      <c r="C174" s="26"/>
      <c r="D174"/>
      <c r="E174"/>
      <c r="F174" s="26"/>
    </row>
    <row r="175" spans="1:6" x14ac:dyDescent="0.25">
      <c r="A175"/>
      <c r="B175"/>
      <c r="C175" s="26"/>
      <c r="D175"/>
      <c r="E175"/>
      <c r="F175" s="26"/>
    </row>
    <row r="176" spans="1:6" x14ac:dyDescent="0.25">
      <c r="A176"/>
      <c r="B176"/>
      <c r="C176" s="26"/>
      <c r="D176"/>
      <c r="E176"/>
      <c r="F176" s="26"/>
    </row>
    <row r="177" spans="1:6" x14ac:dyDescent="0.25">
      <c r="A177"/>
      <c r="B177"/>
      <c r="C177" s="26"/>
      <c r="D177"/>
      <c r="E177"/>
      <c r="F177" s="26"/>
    </row>
    <row r="178" spans="1:6" x14ac:dyDescent="0.25">
      <c r="A178"/>
      <c r="B178"/>
      <c r="C178" s="26"/>
      <c r="D178"/>
      <c r="E178"/>
      <c r="F178" s="26"/>
    </row>
    <row r="179" spans="1:6" x14ac:dyDescent="0.25">
      <c r="A179"/>
      <c r="B179"/>
      <c r="C179" s="26"/>
      <c r="D179"/>
      <c r="E179"/>
      <c r="F179" s="26"/>
    </row>
    <row r="180" spans="1:6" x14ac:dyDescent="0.25">
      <c r="A180"/>
      <c r="B180"/>
      <c r="C180" s="26"/>
      <c r="D180"/>
      <c r="E180"/>
      <c r="F180" s="26"/>
    </row>
    <row r="181" spans="1:6" x14ac:dyDescent="0.25">
      <c r="A181"/>
      <c r="B181"/>
      <c r="C181" s="26"/>
      <c r="D181"/>
      <c r="E181"/>
      <c r="F181" s="26"/>
    </row>
    <row r="182" spans="1:6" x14ac:dyDescent="0.25">
      <c r="A182"/>
      <c r="B182"/>
      <c r="C182" s="26"/>
      <c r="D182"/>
      <c r="E182"/>
      <c r="F182" s="26"/>
    </row>
    <row r="183" spans="1:6" x14ac:dyDescent="0.25">
      <c r="A183"/>
      <c r="B183"/>
      <c r="C183" s="26"/>
      <c r="D183"/>
      <c r="E183"/>
      <c r="F183" s="26"/>
    </row>
    <row r="184" spans="1:6" x14ac:dyDescent="0.25">
      <c r="A184"/>
      <c r="B184"/>
      <c r="C184" s="26"/>
      <c r="D184"/>
      <c r="E184"/>
      <c r="F184" s="26"/>
    </row>
    <row r="185" spans="1:6" x14ac:dyDescent="0.25">
      <c r="A185"/>
      <c r="B185"/>
      <c r="C185" s="26"/>
      <c r="D185"/>
      <c r="E185"/>
      <c r="F185" s="26"/>
    </row>
    <row r="186" spans="1:6" x14ac:dyDescent="0.25">
      <c r="A186"/>
      <c r="B186"/>
      <c r="C186" s="26"/>
      <c r="D186"/>
      <c r="E186"/>
      <c r="F186" s="26"/>
    </row>
    <row r="187" spans="1:6" x14ac:dyDescent="0.25">
      <c r="A187"/>
      <c r="B187"/>
      <c r="C187" s="26"/>
      <c r="D187"/>
      <c r="E187"/>
      <c r="F187" s="26"/>
    </row>
    <row r="188" spans="1:6" x14ac:dyDescent="0.25">
      <c r="A188"/>
      <c r="B188"/>
      <c r="C188" s="26"/>
      <c r="D188"/>
      <c r="E188"/>
      <c r="F188" s="26"/>
    </row>
    <row r="189" spans="1:6" x14ac:dyDescent="0.25">
      <c r="A189"/>
      <c r="B189"/>
      <c r="C189" s="26"/>
      <c r="D189"/>
      <c r="E189"/>
      <c r="F189" s="26"/>
    </row>
    <row r="190" spans="1:6" x14ac:dyDescent="0.25">
      <c r="A190"/>
      <c r="B190"/>
      <c r="C190" s="26"/>
      <c r="D190"/>
      <c r="E190"/>
      <c r="F190" s="26"/>
    </row>
    <row r="191" spans="1:6" x14ac:dyDescent="0.25">
      <c r="A191"/>
      <c r="B191"/>
      <c r="C191" s="26"/>
      <c r="D191"/>
      <c r="E191"/>
      <c r="F191" s="26"/>
    </row>
    <row r="192" spans="1:6" x14ac:dyDescent="0.25">
      <c r="A192"/>
      <c r="B192"/>
      <c r="C192" s="26"/>
      <c r="D192"/>
      <c r="E192"/>
      <c r="F192" s="26"/>
    </row>
    <row r="193" spans="1:6" x14ac:dyDescent="0.25">
      <c r="A193"/>
      <c r="B193"/>
      <c r="C193" s="26"/>
      <c r="D193"/>
      <c r="E193"/>
      <c r="F193" s="26"/>
    </row>
    <row r="194" spans="1:6" x14ac:dyDescent="0.25">
      <c r="A194"/>
      <c r="B194"/>
      <c r="C194" s="26"/>
      <c r="D194"/>
      <c r="E194"/>
      <c r="F194" s="26"/>
    </row>
    <row r="195" spans="1:6" x14ac:dyDescent="0.25">
      <c r="A195"/>
      <c r="B195"/>
      <c r="C195" s="26"/>
      <c r="D195"/>
      <c r="E195"/>
      <c r="F195" s="26"/>
    </row>
    <row r="196" spans="1:6" x14ac:dyDescent="0.25">
      <c r="A196"/>
      <c r="B196"/>
      <c r="C196" s="26"/>
      <c r="D196"/>
      <c r="E196"/>
      <c r="F196" s="26"/>
    </row>
    <row r="197" spans="1:6" x14ac:dyDescent="0.25">
      <c r="A197"/>
      <c r="B197"/>
      <c r="C197" s="26"/>
      <c r="D197"/>
      <c r="E197"/>
      <c r="F197" s="26"/>
    </row>
  </sheetData>
  <mergeCells count="18">
    <mergeCell ref="B13:E13"/>
    <mergeCell ref="B7:E7"/>
    <mergeCell ref="B34:D34"/>
    <mergeCell ref="B16:F16"/>
    <mergeCell ref="A5:B5"/>
    <mergeCell ref="B8:E8"/>
    <mergeCell ref="B12:E12"/>
    <mergeCell ref="B10:E10"/>
    <mergeCell ref="B11:E11"/>
    <mergeCell ref="B9:E9"/>
    <mergeCell ref="B14:E14"/>
    <mergeCell ref="B15:E15"/>
    <mergeCell ref="A1:F1"/>
    <mergeCell ref="A2:F2"/>
    <mergeCell ref="A3:F3"/>
    <mergeCell ref="A4:F4"/>
    <mergeCell ref="A6:B6"/>
    <mergeCell ref="C6:E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7"/>
  <sheetViews>
    <sheetView topLeftCell="A34" workbookViewId="0">
      <selection activeCell="H45" sqref="H45"/>
    </sheetView>
  </sheetViews>
  <sheetFormatPr defaultColWidth="8.7109375" defaultRowHeight="15.75" x14ac:dyDescent="0.25"/>
  <cols>
    <col min="1" max="1" width="4.28515625" style="44" bestFit="1" customWidth="1"/>
    <col min="2" max="2" width="16.5703125" style="44" customWidth="1"/>
    <col min="3" max="3" width="8.7109375" style="44"/>
    <col min="4" max="4" width="7.42578125" style="44" bestFit="1" customWidth="1"/>
    <col min="5" max="5" width="33.42578125" style="44" bestFit="1" customWidth="1"/>
    <col min="6" max="6" width="14.28515625" style="44" bestFit="1" customWidth="1"/>
    <col min="7" max="7" width="13.5703125" style="44" bestFit="1" customWidth="1"/>
    <col min="8" max="8" width="11.140625" style="44" bestFit="1" customWidth="1"/>
    <col min="9" max="16384" width="8.7109375" style="44"/>
  </cols>
  <sheetData>
    <row r="1" spans="1:8" x14ac:dyDescent="0.25">
      <c r="A1" s="252" t="s">
        <v>77</v>
      </c>
      <c r="B1" s="252"/>
      <c r="C1" s="252"/>
      <c r="D1" s="252"/>
      <c r="E1" s="252"/>
      <c r="F1" s="252"/>
    </row>
    <row r="2" spans="1:8" x14ac:dyDescent="0.25">
      <c r="A2" s="252" t="s">
        <v>78</v>
      </c>
      <c r="B2" s="252"/>
      <c r="C2" s="252"/>
      <c r="D2" s="252"/>
      <c r="E2" s="252"/>
      <c r="F2" s="252"/>
    </row>
    <row r="3" spans="1:8" x14ac:dyDescent="0.25">
      <c r="A3" s="252" t="s">
        <v>84</v>
      </c>
      <c r="B3" s="252"/>
      <c r="C3" s="252"/>
      <c r="D3" s="252"/>
      <c r="E3" s="252"/>
      <c r="F3" s="252"/>
    </row>
    <row r="4" spans="1:8" x14ac:dyDescent="0.25">
      <c r="A4" s="231" t="s">
        <v>79</v>
      </c>
      <c r="B4" s="232"/>
      <c r="C4" s="232"/>
      <c r="D4" s="232"/>
      <c r="E4" s="232"/>
      <c r="F4" s="233"/>
    </row>
    <row r="5" spans="1:8" x14ac:dyDescent="0.25">
      <c r="A5" s="234" t="s">
        <v>80</v>
      </c>
      <c r="B5" s="234"/>
      <c r="C5" s="27" t="s">
        <v>97</v>
      </c>
      <c r="D5" s="27"/>
      <c r="E5" s="28"/>
      <c r="F5" s="28"/>
    </row>
    <row r="6" spans="1:8" x14ac:dyDescent="0.25">
      <c r="A6" s="234" t="s">
        <v>81</v>
      </c>
      <c r="B6" s="234"/>
      <c r="C6" s="29" t="s">
        <v>82</v>
      </c>
      <c r="D6" s="22"/>
      <c r="E6" s="23"/>
      <c r="F6" s="27"/>
    </row>
    <row r="7" spans="1:8" x14ac:dyDescent="0.25">
      <c r="A7" s="34"/>
      <c r="B7" s="252"/>
      <c r="C7" s="252"/>
      <c r="D7" s="252"/>
      <c r="E7" s="252"/>
      <c r="F7" s="19" t="s">
        <v>74</v>
      </c>
    </row>
    <row r="8" spans="1:8" x14ac:dyDescent="0.25">
      <c r="A8" s="8"/>
      <c r="B8" s="245" t="s">
        <v>90</v>
      </c>
      <c r="C8" s="245"/>
      <c r="D8" s="245"/>
      <c r="E8" s="245"/>
      <c r="F8" s="9">
        <v>164410.5</v>
      </c>
    </row>
    <row r="9" spans="1:8" x14ac:dyDescent="0.25">
      <c r="A9" s="8"/>
      <c r="B9" s="238"/>
      <c r="C9" s="238"/>
      <c r="D9" s="238"/>
      <c r="E9" s="238"/>
      <c r="F9" s="9"/>
    </row>
    <row r="10" spans="1:8" x14ac:dyDescent="0.25">
      <c r="A10" s="8" t="s">
        <v>94</v>
      </c>
      <c r="B10" s="245" t="s">
        <v>91</v>
      </c>
      <c r="C10" s="245"/>
      <c r="D10" s="245"/>
      <c r="E10" s="245"/>
      <c r="F10" s="9">
        <f>F40</f>
        <v>24615.682000000001</v>
      </c>
    </row>
    <row r="11" spans="1:8" x14ac:dyDescent="0.25">
      <c r="A11" s="8"/>
      <c r="B11" s="238"/>
      <c r="C11" s="238"/>
      <c r="D11" s="238"/>
      <c r="E11" s="238"/>
      <c r="F11" s="9"/>
    </row>
    <row r="12" spans="1:8" x14ac:dyDescent="0.25">
      <c r="A12" s="8" t="s">
        <v>98</v>
      </c>
      <c r="B12" s="245" t="s">
        <v>92</v>
      </c>
      <c r="C12" s="245"/>
      <c r="D12" s="245"/>
      <c r="E12" s="245"/>
      <c r="F12" s="9">
        <v>98.15</v>
      </c>
    </row>
    <row r="13" spans="1:8" x14ac:dyDescent="0.25">
      <c r="A13" s="8"/>
      <c r="B13" s="238"/>
      <c r="C13" s="238"/>
      <c r="D13" s="238"/>
      <c r="E13" s="238"/>
      <c r="F13" s="9"/>
    </row>
    <row r="14" spans="1:8" x14ac:dyDescent="0.25">
      <c r="A14" s="8"/>
      <c r="B14" s="245" t="s">
        <v>93</v>
      </c>
      <c r="C14" s="245"/>
      <c r="D14" s="245"/>
      <c r="E14" s="245"/>
      <c r="F14" s="9">
        <f>F8-F10+F12</f>
        <v>139892.96799999999</v>
      </c>
      <c r="G14" s="46"/>
      <c r="H14" s="46"/>
    </row>
    <row r="15" spans="1:8" x14ac:dyDescent="0.25">
      <c r="A15" s="8"/>
      <c r="B15" s="49"/>
      <c r="C15" s="50"/>
      <c r="D15" s="50"/>
      <c r="E15" s="51"/>
      <c r="F15" s="9"/>
      <c r="G15" s="46"/>
    </row>
    <row r="16" spans="1:8" x14ac:dyDescent="0.25">
      <c r="A16" s="8"/>
      <c r="B16" s="242" t="s">
        <v>102</v>
      </c>
      <c r="C16" s="243"/>
      <c r="D16" s="243"/>
      <c r="E16" s="243"/>
      <c r="F16" s="244"/>
      <c r="G16" s="46"/>
    </row>
    <row r="17" spans="1:7" x14ac:dyDescent="0.25">
      <c r="A17" s="8"/>
      <c r="B17" s="14" t="s">
        <v>0</v>
      </c>
      <c r="C17" s="14" t="s">
        <v>85</v>
      </c>
      <c r="D17" s="14" t="s">
        <v>86</v>
      </c>
      <c r="E17" s="14" t="s">
        <v>87</v>
      </c>
      <c r="F17" s="14" t="s">
        <v>74</v>
      </c>
      <c r="G17" s="46"/>
    </row>
    <row r="18" spans="1:7" s="48" customFormat="1" x14ac:dyDescent="0.25">
      <c r="A18" s="30"/>
      <c r="B18" s="31">
        <v>43731</v>
      </c>
      <c r="C18" s="32">
        <v>537</v>
      </c>
      <c r="D18" s="32"/>
      <c r="E18" s="32" t="s">
        <v>40</v>
      </c>
      <c r="F18" s="33">
        <v>1360.39</v>
      </c>
      <c r="G18" s="47"/>
    </row>
    <row r="19" spans="1:7" s="48" customFormat="1" x14ac:dyDescent="0.25">
      <c r="A19" s="30"/>
      <c r="B19" s="31">
        <v>43665</v>
      </c>
      <c r="C19" s="32">
        <v>544</v>
      </c>
      <c r="D19" s="32"/>
      <c r="E19" s="32" t="s">
        <v>43</v>
      </c>
      <c r="F19" s="33">
        <v>1831.9</v>
      </c>
    </row>
    <row r="20" spans="1:7" s="48" customFormat="1" x14ac:dyDescent="0.25">
      <c r="A20" s="30"/>
      <c r="B20" s="31">
        <v>43731</v>
      </c>
      <c r="C20" s="32">
        <v>548</v>
      </c>
      <c r="D20" s="32"/>
      <c r="E20" s="32" t="s">
        <v>41</v>
      </c>
      <c r="F20" s="33">
        <v>1500</v>
      </c>
    </row>
    <row r="21" spans="1:7" s="48" customFormat="1" x14ac:dyDescent="0.25">
      <c r="A21" s="30"/>
      <c r="B21" s="31">
        <v>43663</v>
      </c>
      <c r="C21" s="32">
        <v>529</v>
      </c>
      <c r="D21" s="32"/>
      <c r="E21" s="32" t="s">
        <v>48</v>
      </c>
      <c r="F21" s="33">
        <v>939.92</v>
      </c>
    </row>
    <row r="22" spans="1:7" s="48" customFormat="1" x14ac:dyDescent="0.25">
      <c r="A22" s="30"/>
      <c r="B22" s="31">
        <v>43663</v>
      </c>
      <c r="C22" s="32">
        <v>530</v>
      </c>
      <c r="D22" s="32"/>
      <c r="E22" s="32" t="s">
        <v>48</v>
      </c>
      <c r="F22" s="33">
        <v>796</v>
      </c>
    </row>
    <row r="23" spans="1:7" s="48" customFormat="1" x14ac:dyDescent="0.25">
      <c r="A23" s="30"/>
      <c r="B23" s="31">
        <v>43663</v>
      </c>
      <c r="C23" s="32">
        <v>536</v>
      </c>
      <c r="D23" s="32"/>
      <c r="E23" s="32" t="s">
        <v>48</v>
      </c>
      <c r="F23" s="33">
        <v>806</v>
      </c>
    </row>
    <row r="24" spans="1:7" x14ac:dyDescent="0.25">
      <c r="A24" s="8"/>
      <c r="B24" s="15">
        <v>43761</v>
      </c>
      <c r="C24" s="16">
        <v>708</v>
      </c>
      <c r="D24" s="16" t="s">
        <v>51</v>
      </c>
      <c r="E24" s="16" t="s">
        <v>43</v>
      </c>
      <c r="F24" s="17">
        <v>1711.5</v>
      </c>
    </row>
    <row r="25" spans="1:7" x14ac:dyDescent="0.25">
      <c r="A25" s="8"/>
      <c r="B25" s="15">
        <v>43761</v>
      </c>
      <c r="C25" s="16">
        <v>709</v>
      </c>
      <c r="D25" s="16" t="s">
        <v>52</v>
      </c>
      <c r="E25" s="16" t="s">
        <v>44</v>
      </c>
      <c r="F25" s="17">
        <v>458.86</v>
      </c>
    </row>
    <row r="26" spans="1:7" x14ac:dyDescent="0.25">
      <c r="A26" s="8"/>
      <c r="B26" s="15">
        <v>43741</v>
      </c>
      <c r="C26" s="16">
        <v>662</v>
      </c>
      <c r="D26" s="16"/>
      <c r="E26" s="16" t="s">
        <v>47</v>
      </c>
      <c r="F26" s="17">
        <v>1165</v>
      </c>
    </row>
    <row r="27" spans="1:7" x14ac:dyDescent="0.25">
      <c r="A27" s="8"/>
      <c r="B27" s="15">
        <v>43802</v>
      </c>
      <c r="C27" s="16">
        <v>732</v>
      </c>
      <c r="D27" s="16"/>
      <c r="E27" s="16" t="s">
        <v>55</v>
      </c>
      <c r="F27" s="17">
        <v>506.55</v>
      </c>
    </row>
    <row r="28" spans="1:7" x14ac:dyDescent="0.25">
      <c r="A28" s="8"/>
      <c r="B28" s="15">
        <v>43796</v>
      </c>
      <c r="C28" s="16">
        <v>767</v>
      </c>
      <c r="D28" s="16" t="s">
        <v>54</v>
      </c>
      <c r="E28" s="16" t="s">
        <v>53</v>
      </c>
      <c r="F28" s="17">
        <v>6017.45</v>
      </c>
    </row>
    <row r="29" spans="1:7" x14ac:dyDescent="0.25">
      <c r="A29" s="8"/>
      <c r="B29" s="15">
        <v>43817</v>
      </c>
      <c r="C29" s="16">
        <v>782</v>
      </c>
      <c r="D29" s="16" t="s">
        <v>57</v>
      </c>
      <c r="E29" s="16" t="s">
        <v>56</v>
      </c>
      <c r="F29" s="17">
        <v>2081.3000000000002</v>
      </c>
    </row>
    <row r="30" spans="1:7" x14ac:dyDescent="0.25">
      <c r="A30" s="8"/>
      <c r="B30" s="15">
        <v>43819</v>
      </c>
      <c r="C30" s="16">
        <v>783</v>
      </c>
      <c r="D30" s="16" t="s">
        <v>59</v>
      </c>
      <c r="E30" s="16" t="s">
        <v>58</v>
      </c>
      <c r="F30" s="17">
        <v>881.19200000000001</v>
      </c>
    </row>
    <row r="31" spans="1:7" x14ac:dyDescent="0.25">
      <c r="A31" s="8"/>
      <c r="B31" s="15">
        <v>43754</v>
      </c>
      <c r="C31" s="16">
        <v>683</v>
      </c>
      <c r="D31" s="16"/>
      <c r="E31" s="16" t="s">
        <v>43</v>
      </c>
      <c r="F31" s="17">
        <v>7</v>
      </c>
    </row>
    <row r="32" spans="1:7" x14ac:dyDescent="0.25">
      <c r="A32" s="8"/>
      <c r="B32" s="15">
        <v>43754</v>
      </c>
      <c r="C32" s="16">
        <v>685</v>
      </c>
      <c r="D32" s="16"/>
      <c r="E32" s="16" t="s">
        <v>43</v>
      </c>
      <c r="F32" s="17">
        <v>5</v>
      </c>
    </row>
    <row r="33" spans="1:6" x14ac:dyDescent="0.25">
      <c r="A33" s="8"/>
      <c r="B33" s="15">
        <v>43754</v>
      </c>
      <c r="C33" s="16">
        <v>687</v>
      </c>
      <c r="D33" s="16"/>
      <c r="E33" s="16" t="s">
        <v>43</v>
      </c>
      <c r="F33" s="17">
        <v>120</v>
      </c>
    </row>
    <row r="34" spans="1:6" x14ac:dyDescent="0.25">
      <c r="A34" s="8"/>
      <c r="B34" s="15">
        <v>43809</v>
      </c>
      <c r="C34" s="16">
        <v>797</v>
      </c>
      <c r="D34" s="16" t="s">
        <v>69</v>
      </c>
      <c r="E34" s="16" t="s">
        <v>68</v>
      </c>
      <c r="F34" s="17">
        <v>250</v>
      </c>
    </row>
    <row r="35" spans="1:6" x14ac:dyDescent="0.25">
      <c r="A35" s="8"/>
      <c r="B35" s="15">
        <v>43817</v>
      </c>
      <c r="C35" s="16">
        <v>810</v>
      </c>
      <c r="D35" s="16" t="s">
        <v>88</v>
      </c>
      <c r="E35" s="16" t="s">
        <v>48</v>
      </c>
      <c r="F35" s="17">
        <v>521.88</v>
      </c>
    </row>
    <row r="36" spans="1:6" x14ac:dyDescent="0.25">
      <c r="A36" s="8"/>
      <c r="B36" s="15">
        <v>43830</v>
      </c>
      <c r="C36" s="16">
        <v>822</v>
      </c>
      <c r="D36" s="16" t="s">
        <v>60</v>
      </c>
      <c r="E36" s="16" t="s">
        <v>42</v>
      </c>
      <c r="F36" s="17">
        <v>305</v>
      </c>
    </row>
    <row r="37" spans="1:6" x14ac:dyDescent="0.25">
      <c r="A37" s="8"/>
      <c r="B37" s="15">
        <v>43819</v>
      </c>
      <c r="C37" s="16">
        <v>824</v>
      </c>
      <c r="D37" s="16" t="s">
        <v>61</v>
      </c>
      <c r="E37" s="16" t="s">
        <v>45</v>
      </c>
      <c r="F37" s="17">
        <v>38.24</v>
      </c>
    </row>
    <row r="38" spans="1:6" x14ac:dyDescent="0.25">
      <c r="A38" s="8"/>
      <c r="B38" s="15">
        <v>43819</v>
      </c>
      <c r="C38" s="16">
        <v>825</v>
      </c>
      <c r="D38" s="16" t="s">
        <v>62</v>
      </c>
      <c r="E38" s="16" t="s">
        <v>43</v>
      </c>
      <c r="F38" s="17">
        <v>1711.5</v>
      </c>
    </row>
    <row r="39" spans="1:6" x14ac:dyDescent="0.25">
      <c r="A39" s="8"/>
      <c r="B39" s="15">
        <v>43823</v>
      </c>
      <c r="C39" s="16">
        <v>828</v>
      </c>
      <c r="D39" s="16"/>
      <c r="E39" s="16" t="s">
        <v>42</v>
      </c>
      <c r="F39" s="17">
        <v>1601</v>
      </c>
    </row>
    <row r="40" spans="1:6" x14ac:dyDescent="0.25">
      <c r="A40" s="10"/>
      <c r="B40" s="239" t="s">
        <v>6</v>
      </c>
      <c r="C40" s="240"/>
      <c r="D40" s="241"/>
      <c r="E40" s="10"/>
      <c r="F40" s="11">
        <f>SUM(F18:F39)</f>
        <v>24615.682000000001</v>
      </c>
    </row>
    <row r="44" spans="1:6" x14ac:dyDescent="0.25">
      <c r="B44" s="37" t="s">
        <v>103</v>
      </c>
      <c r="C44" s="38"/>
      <c r="D44" s="45"/>
      <c r="E44" s="36" t="s">
        <v>108</v>
      </c>
    </row>
    <row r="45" spans="1:6" x14ac:dyDescent="0.25">
      <c r="B45" s="39" t="s">
        <v>104</v>
      </c>
      <c r="C45" s="12"/>
      <c r="D45" s="45"/>
      <c r="E45" s="12" t="s">
        <v>107</v>
      </c>
    </row>
    <row r="46" spans="1:6" x14ac:dyDescent="0.25">
      <c r="B46" s="39" t="s">
        <v>105</v>
      </c>
      <c r="C46" s="40"/>
      <c r="E46" s="44" t="s">
        <v>109</v>
      </c>
    </row>
    <row r="47" spans="1:6" x14ac:dyDescent="0.25">
      <c r="B47" s="37" t="s">
        <v>106</v>
      </c>
      <c r="C47" s="36"/>
      <c r="E47" s="37" t="s">
        <v>110</v>
      </c>
    </row>
  </sheetData>
  <mergeCells count="16">
    <mergeCell ref="B40:D40"/>
    <mergeCell ref="B16:F16"/>
    <mergeCell ref="A5:B5"/>
    <mergeCell ref="A1:F1"/>
    <mergeCell ref="A2:F2"/>
    <mergeCell ref="A3:F3"/>
    <mergeCell ref="A4:F4"/>
    <mergeCell ref="B14:E14"/>
    <mergeCell ref="B12:E12"/>
    <mergeCell ref="B13:E13"/>
    <mergeCell ref="A6:B6"/>
    <mergeCell ref="B7:E7"/>
    <mergeCell ref="B8:E8"/>
    <mergeCell ref="B9:E9"/>
    <mergeCell ref="B10:E10"/>
    <mergeCell ref="B11:E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"/>
  <sheetViews>
    <sheetView topLeftCell="A11" workbookViewId="0">
      <selection activeCell="B29" sqref="B29"/>
    </sheetView>
  </sheetViews>
  <sheetFormatPr defaultColWidth="8.7109375" defaultRowHeight="15" x14ac:dyDescent="0.25"/>
  <cols>
    <col min="1" max="1" width="18.140625" style="58" bestFit="1" customWidth="1"/>
    <col min="2" max="2" width="76.42578125" style="58" customWidth="1"/>
    <col min="3" max="3" width="17.85546875" style="58" customWidth="1"/>
    <col min="4" max="4" width="11" style="58" customWidth="1"/>
    <col min="5" max="5" width="16.85546875" style="58" customWidth="1"/>
    <col min="6" max="6" width="11.42578125" style="58" bestFit="1" customWidth="1"/>
    <col min="7" max="16384" width="8.7109375" style="58"/>
  </cols>
  <sheetData>
    <row r="1" spans="1:7" ht="21.75" thickBot="1" x14ac:dyDescent="0.4">
      <c r="A1" s="255" t="s">
        <v>128</v>
      </c>
      <c r="B1" s="255"/>
      <c r="C1" s="255"/>
      <c r="D1" s="255"/>
      <c r="E1" s="255"/>
      <c r="F1" s="255"/>
      <c r="G1" s="57"/>
    </row>
    <row r="2" spans="1:7" ht="16.5" thickBot="1" x14ac:dyDescent="0.3">
      <c r="A2" s="256" t="s">
        <v>127</v>
      </c>
      <c r="B2" s="257"/>
      <c r="C2" s="257"/>
      <c r="D2" s="257"/>
      <c r="E2" s="257"/>
      <c r="F2" s="257"/>
      <c r="G2" s="57"/>
    </row>
    <row r="3" spans="1:7" ht="15.6" customHeight="1" x14ac:dyDescent="0.25">
      <c r="A3" s="258" t="s">
        <v>138</v>
      </c>
      <c r="B3" s="259"/>
      <c r="C3" s="259"/>
      <c r="D3" s="259"/>
      <c r="E3" s="259"/>
      <c r="F3" s="259"/>
      <c r="G3" s="57"/>
    </row>
    <row r="4" spans="1:7" ht="47.25" x14ac:dyDescent="0.25">
      <c r="A4" s="59" t="s">
        <v>129</v>
      </c>
      <c r="B4" s="60" t="s">
        <v>130</v>
      </c>
      <c r="C4" s="60" t="s">
        <v>139</v>
      </c>
      <c r="D4" s="60" t="s">
        <v>140</v>
      </c>
      <c r="E4" s="61" t="s">
        <v>143</v>
      </c>
      <c r="F4" s="60" t="s">
        <v>144</v>
      </c>
      <c r="G4" s="57"/>
    </row>
    <row r="5" spans="1:7" ht="14.45" customHeight="1" x14ac:dyDescent="0.25">
      <c r="A5" s="62" t="s">
        <v>131</v>
      </c>
      <c r="B5" s="62" t="s">
        <v>117</v>
      </c>
      <c r="C5" s="63" t="s">
        <v>142</v>
      </c>
      <c r="D5" s="64" t="s">
        <v>141</v>
      </c>
      <c r="E5" s="64" t="s">
        <v>141</v>
      </c>
      <c r="F5" s="64" t="s">
        <v>141</v>
      </c>
      <c r="G5" s="57"/>
    </row>
    <row r="6" spans="1:7" ht="14.45" customHeight="1" x14ac:dyDescent="0.25">
      <c r="A6" s="65"/>
      <c r="B6" s="66"/>
      <c r="C6" s="67"/>
      <c r="D6" s="68"/>
      <c r="E6" s="69"/>
      <c r="F6" s="68"/>
      <c r="G6" s="57"/>
    </row>
    <row r="7" spans="1:7" ht="20.45" customHeight="1" x14ac:dyDescent="0.25">
      <c r="A7" s="253" t="s">
        <v>132</v>
      </c>
      <c r="B7" s="70" t="s">
        <v>133</v>
      </c>
      <c r="C7" s="71">
        <f>D7/E7</f>
        <v>1</v>
      </c>
      <c r="D7" s="72">
        <v>600000</v>
      </c>
      <c r="E7" s="73">
        <v>600000</v>
      </c>
      <c r="F7" s="72">
        <f>D7-E7</f>
        <v>0</v>
      </c>
      <c r="G7" s="57"/>
    </row>
    <row r="8" spans="1:7" ht="18" customHeight="1" x14ac:dyDescent="0.25">
      <c r="A8" s="254"/>
      <c r="B8" s="70" t="s">
        <v>134</v>
      </c>
      <c r="C8" s="71">
        <f>D8/E8</f>
        <v>1</v>
      </c>
      <c r="D8" s="72">
        <v>500000</v>
      </c>
      <c r="E8" s="73">
        <v>500000</v>
      </c>
      <c r="F8" s="72">
        <f>D8-E8</f>
        <v>0</v>
      </c>
      <c r="G8" s="57"/>
    </row>
    <row r="9" spans="1:7" ht="18" customHeight="1" x14ac:dyDescent="0.25">
      <c r="A9" s="74"/>
      <c r="B9" s="75"/>
      <c r="C9" s="76"/>
      <c r="D9" s="77"/>
      <c r="E9" s="78"/>
      <c r="F9" s="77"/>
      <c r="G9" s="57"/>
    </row>
    <row r="10" spans="1:7" ht="15.75" x14ac:dyDescent="0.25">
      <c r="A10" s="253" t="s">
        <v>135</v>
      </c>
      <c r="B10" s="70" t="s">
        <v>151</v>
      </c>
      <c r="C10" s="71">
        <v>0</v>
      </c>
      <c r="D10" s="72">
        <v>0</v>
      </c>
      <c r="E10" s="73">
        <v>0</v>
      </c>
      <c r="F10" s="72">
        <f t="shared" ref="F10:F17" si="0">D10-E10</f>
        <v>0</v>
      </c>
      <c r="G10" s="57"/>
    </row>
    <row r="11" spans="1:7" ht="15.75" x14ac:dyDescent="0.25">
      <c r="A11" s="260"/>
      <c r="B11" s="70" t="s">
        <v>152</v>
      </c>
      <c r="C11" s="71">
        <v>0.63</v>
      </c>
      <c r="D11" s="72">
        <v>1300000</v>
      </c>
      <c r="E11" s="73">
        <v>1300000</v>
      </c>
      <c r="F11" s="72">
        <f t="shared" si="0"/>
        <v>0</v>
      </c>
      <c r="G11" s="57"/>
    </row>
    <row r="12" spans="1:7" ht="15.75" x14ac:dyDescent="0.25">
      <c r="A12" s="260"/>
      <c r="B12" s="70" t="s">
        <v>153</v>
      </c>
      <c r="C12" s="71">
        <v>0.38</v>
      </c>
      <c r="D12" s="72">
        <v>600000</v>
      </c>
      <c r="E12" s="73">
        <v>225000</v>
      </c>
      <c r="F12" s="72">
        <f t="shared" si="0"/>
        <v>375000</v>
      </c>
      <c r="G12" s="57"/>
    </row>
    <row r="13" spans="1:7" ht="31.5" x14ac:dyDescent="0.25">
      <c r="A13" s="260"/>
      <c r="B13" s="70" t="s">
        <v>154</v>
      </c>
      <c r="C13" s="71">
        <f>E13/D13</f>
        <v>1</v>
      </c>
      <c r="D13" s="72">
        <v>200000</v>
      </c>
      <c r="E13" s="73">
        <v>200000</v>
      </c>
      <c r="F13" s="72">
        <f t="shared" si="0"/>
        <v>0</v>
      </c>
      <c r="G13" s="57"/>
    </row>
    <row r="14" spans="1:7" ht="15.75" x14ac:dyDescent="0.25">
      <c r="A14" s="260"/>
      <c r="B14" s="70" t="s">
        <v>155</v>
      </c>
      <c r="C14" s="71">
        <v>1</v>
      </c>
      <c r="D14" s="72">
        <v>500000</v>
      </c>
      <c r="E14" s="73">
        <v>500000</v>
      </c>
      <c r="F14" s="72">
        <f t="shared" si="0"/>
        <v>0</v>
      </c>
      <c r="G14" s="57"/>
    </row>
    <row r="15" spans="1:7" ht="15.75" x14ac:dyDescent="0.25">
      <c r="A15" s="260"/>
      <c r="B15" s="70" t="s">
        <v>180</v>
      </c>
      <c r="C15" s="71">
        <v>0.59</v>
      </c>
      <c r="D15" s="72">
        <v>700000</v>
      </c>
      <c r="E15" s="73">
        <f>413790.1-15731.71</f>
        <v>398058.38999999996</v>
      </c>
      <c r="F15" s="72">
        <f t="shared" si="0"/>
        <v>301941.61000000004</v>
      </c>
      <c r="G15" s="57"/>
    </row>
    <row r="16" spans="1:7" ht="15.75" x14ac:dyDescent="0.25">
      <c r="A16" s="260"/>
      <c r="B16" s="70" t="s">
        <v>181</v>
      </c>
      <c r="C16" s="71">
        <f>E16/D16</f>
        <v>1</v>
      </c>
      <c r="D16" s="72">
        <v>900000</v>
      </c>
      <c r="E16" s="73">
        <v>900000</v>
      </c>
      <c r="F16" s="72">
        <f>D16-E16</f>
        <v>0</v>
      </c>
      <c r="G16" s="57"/>
    </row>
    <row r="17" spans="1:7" ht="15.75" x14ac:dyDescent="0.25">
      <c r="A17" s="254"/>
      <c r="B17" s="70" t="s">
        <v>182</v>
      </c>
      <c r="C17" s="71">
        <f>E17/D17</f>
        <v>1</v>
      </c>
      <c r="D17" s="72">
        <v>100000</v>
      </c>
      <c r="E17" s="73">
        <v>100000</v>
      </c>
      <c r="F17" s="72">
        <f t="shared" si="0"/>
        <v>0</v>
      </c>
      <c r="G17" s="57"/>
    </row>
    <row r="18" spans="1:7" ht="15.75" x14ac:dyDescent="0.25">
      <c r="A18" s="74"/>
      <c r="B18" s="75"/>
      <c r="C18" s="76"/>
      <c r="D18" s="77"/>
      <c r="E18" s="78"/>
      <c r="F18" s="77"/>
      <c r="G18" s="57"/>
    </row>
    <row r="19" spans="1:7" ht="15.75" x14ac:dyDescent="0.25">
      <c r="A19" s="253" t="s">
        <v>136</v>
      </c>
      <c r="B19" s="70" t="s">
        <v>147</v>
      </c>
      <c r="C19" s="71">
        <f>E19/D19</f>
        <v>0.8</v>
      </c>
      <c r="D19" s="72">
        <v>75000</v>
      </c>
      <c r="E19" s="73">
        <v>60000</v>
      </c>
      <c r="F19" s="72">
        <f>D19-E19</f>
        <v>15000</v>
      </c>
      <c r="G19" s="57"/>
    </row>
    <row r="20" spans="1:7" ht="15.75" x14ac:dyDescent="0.25">
      <c r="A20" s="260"/>
      <c r="B20" s="70" t="s">
        <v>148</v>
      </c>
      <c r="C20" s="71">
        <f>E20/D20</f>
        <v>0.8</v>
      </c>
      <c r="D20" s="72">
        <v>75000</v>
      </c>
      <c r="E20" s="73">
        <v>60000</v>
      </c>
      <c r="F20" s="72">
        <f>D20-E20</f>
        <v>15000</v>
      </c>
      <c r="G20" s="57"/>
    </row>
    <row r="21" spans="1:7" ht="15.75" x14ac:dyDescent="0.25">
      <c r="A21" s="260"/>
      <c r="B21" s="70" t="s">
        <v>149</v>
      </c>
      <c r="C21" s="71">
        <f>E21/D21</f>
        <v>0.8</v>
      </c>
      <c r="D21" s="72">
        <v>75000</v>
      </c>
      <c r="E21" s="73">
        <v>60000</v>
      </c>
      <c r="F21" s="72">
        <f>D21-E21</f>
        <v>15000</v>
      </c>
      <c r="G21" s="57"/>
    </row>
    <row r="22" spans="1:7" ht="31.5" x14ac:dyDescent="0.25">
      <c r="A22" s="254"/>
      <c r="B22" s="70" t="s">
        <v>150</v>
      </c>
      <c r="C22" s="71">
        <f>E22/D22</f>
        <v>0.8</v>
      </c>
      <c r="D22" s="72">
        <v>75000</v>
      </c>
      <c r="E22" s="73">
        <v>60000</v>
      </c>
      <c r="F22" s="72">
        <f>D22-E22</f>
        <v>15000</v>
      </c>
      <c r="G22" s="57"/>
    </row>
    <row r="23" spans="1:7" ht="15.75" x14ac:dyDescent="0.25">
      <c r="A23" s="74"/>
      <c r="B23" s="75"/>
      <c r="C23" s="76"/>
      <c r="D23" s="77"/>
      <c r="E23" s="78"/>
      <c r="F23" s="77"/>
      <c r="G23" s="57"/>
    </row>
    <row r="24" spans="1:7" ht="15.75" x14ac:dyDescent="0.25">
      <c r="A24" s="253" t="s">
        <v>137</v>
      </c>
      <c r="B24" s="70" t="s">
        <v>146</v>
      </c>
      <c r="C24" s="71">
        <v>0</v>
      </c>
      <c r="D24" s="72">
        <v>150000</v>
      </c>
      <c r="E24" s="73">
        <v>0</v>
      </c>
      <c r="F24" s="72">
        <f>D24-E24</f>
        <v>150000</v>
      </c>
      <c r="G24" s="57"/>
    </row>
    <row r="25" spans="1:7" ht="15.75" x14ac:dyDescent="0.25">
      <c r="A25" s="254"/>
      <c r="B25" s="70" t="s">
        <v>145</v>
      </c>
      <c r="C25" s="71">
        <v>0</v>
      </c>
      <c r="D25" s="72">
        <v>150000</v>
      </c>
      <c r="E25" s="73">
        <v>0</v>
      </c>
      <c r="F25" s="72">
        <f>D25-E25</f>
        <v>150000</v>
      </c>
      <c r="G25" s="57"/>
    </row>
    <row r="26" spans="1:7" ht="15.75" x14ac:dyDescent="0.25">
      <c r="A26" s="79" t="s">
        <v>116</v>
      </c>
      <c r="B26" s="79"/>
      <c r="C26" s="79"/>
      <c r="D26" s="80">
        <f>SUM(D7:D25)</f>
        <v>6000000</v>
      </c>
      <c r="E26" s="80">
        <f>SUM(E7:E25)</f>
        <v>4963058.3900000006</v>
      </c>
      <c r="F26" s="81">
        <f>D26-E26</f>
        <v>1036941.6099999994</v>
      </c>
      <c r="G26" s="57"/>
    </row>
    <row r="27" spans="1:7" x14ac:dyDescent="0.25">
      <c r="A27" s="57"/>
      <c r="B27" s="57"/>
      <c r="C27" s="57"/>
      <c r="D27" s="57"/>
      <c r="E27" s="82"/>
      <c r="F27" s="57"/>
      <c r="G27" s="57"/>
    </row>
    <row r="28" spans="1:7" x14ac:dyDescent="0.25">
      <c r="A28" s="83"/>
      <c r="B28" s="83"/>
      <c r="C28" s="83"/>
      <c r="D28" s="57"/>
      <c r="E28" s="84"/>
      <c r="F28" s="57"/>
      <c r="G28" s="57"/>
    </row>
    <row r="30" spans="1:7" x14ac:dyDescent="0.25">
      <c r="E30" s="85"/>
    </row>
  </sheetData>
  <mergeCells count="7">
    <mergeCell ref="A24:A25"/>
    <mergeCell ref="A1:F1"/>
    <mergeCell ref="A2:F2"/>
    <mergeCell ref="A3:F3"/>
    <mergeCell ref="A7:A8"/>
    <mergeCell ref="A10:A17"/>
    <mergeCell ref="A19:A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F2:F23"/>
  <sheetViews>
    <sheetView workbookViewId="0">
      <selection activeCell="F24" sqref="F24"/>
    </sheetView>
  </sheetViews>
  <sheetFormatPr defaultRowHeight="15" x14ac:dyDescent="0.25"/>
  <cols>
    <col min="6" max="6" width="23.7109375" style="18" customWidth="1"/>
  </cols>
  <sheetData>
    <row r="2" spans="6:6" x14ac:dyDescent="0.25">
      <c r="F2" s="18">
        <f>1950000+2000</f>
        <v>1952000</v>
      </c>
    </row>
    <row r="5" spans="6:6" x14ac:dyDescent="0.25">
      <c r="F5" s="18">
        <f>40175530</f>
        <v>40175530</v>
      </c>
    </row>
    <row r="6" spans="6:6" x14ac:dyDescent="0.25">
      <c r="F6" s="18">
        <f>43359020-3722000-1333260-3900000-3492000</f>
        <v>30911760</v>
      </c>
    </row>
    <row r="7" spans="6:6" x14ac:dyDescent="0.25">
      <c r="F7" s="18">
        <f>F5+F6</f>
        <v>71087290</v>
      </c>
    </row>
    <row r="9" spans="6:6" x14ac:dyDescent="0.25">
      <c r="F9" s="18">
        <f>183+1032+387.6+1246.24+189.08+2100+545+45+50+158.33+41.67+1075.27</f>
        <v>7053.1900000000005</v>
      </c>
    </row>
    <row r="10" spans="6:6" x14ac:dyDescent="0.25">
      <c r="F10" s="18">
        <f>3492000/2320</f>
        <v>1505.1724137931035</v>
      </c>
    </row>
    <row r="11" spans="6:6" x14ac:dyDescent="0.25">
      <c r="F11" s="18">
        <f>SUM(F9:F10)</f>
        <v>8558.3624137931038</v>
      </c>
    </row>
    <row r="13" spans="6:6" x14ac:dyDescent="0.25">
      <c r="F13" s="18">
        <f>629.03-250</f>
        <v>379.03</v>
      </c>
    </row>
    <row r="15" spans="6:6" x14ac:dyDescent="0.25">
      <c r="F15" s="18">
        <v>8423.84</v>
      </c>
    </row>
    <row r="16" spans="6:6" x14ac:dyDescent="0.25">
      <c r="F16" s="18">
        <f>7443.03-150-1052.41</f>
        <v>6240.62</v>
      </c>
    </row>
    <row r="17" spans="6:6" x14ac:dyDescent="0.25">
      <c r="F17" s="18">
        <f>SUM(F15:F16)</f>
        <v>14664.46</v>
      </c>
    </row>
    <row r="19" spans="6:6" x14ac:dyDescent="0.25">
      <c r="F19" s="18">
        <v>13116.88</v>
      </c>
    </row>
    <row r="20" spans="6:6" x14ac:dyDescent="0.25">
      <c r="F20" s="18">
        <f>77489.48-765-1288.66-2660-1134</f>
        <v>71641.819999999992</v>
      </c>
    </row>
    <row r="21" spans="6:6" x14ac:dyDescent="0.25">
      <c r="F21" s="18">
        <f>SUM(F19:F20)</f>
        <v>84758.7</v>
      </c>
    </row>
    <row r="23" spans="6:6" x14ac:dyDescent="0.25">
      <c r="F23" s="18">
        <f>35947641.4+609282</f>
        <v>36556923.399999999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SSUF</vt:lpstr>
      <vt:lpstr>UFB</vt:lpstr>
      <vt:lpstr>BANK RECONCILIATION TZS ACCOUNT</vt:lpstr>
      <vt:lpstr>BANK RECONCILIATION USD ACCOUNT</vt:lpstr>
      <vt:lpstr>SREEPS</vt:lpstr>
      <vt:lpstr>BANK RECONCILLIATION-TZS ACCOUN</vt:lpstr>
      <vt:lpstr>BANK RECONCILLIATION-USD ACCOUN</vt:lpstr>
      <vt:lpstr>NOTES ANNEX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Kulwa</dc:creator>
  <cp:lastModifiedBy>DELL</cp:lastModifiedBy>
  <cp:revision/>
  <cp:lastPrinted>2021-02-18T08:34:22Z</cp:lastPrinted>
  <dcterms:created xsi:type="dcterms:W3CDTF">2013-11-22T00:33:08Z</dcterms:created>
  <dcterms:modified xsi:type="dcterms:W3CDTF">2024-01-31T11:35:32Z</dcterms:modified>
</cp:coreProperties>
</file>